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 activeTab="7"/>
  </bookViews>
  <sheets>
    <sheet name="Таблица 1" sheetId="1" r:id="rId1"/>
    <sheet name="Таблица 2" sheetId="2" r:id="rId2"/>
    <sheet name="Таблица 3" sheetId="4" r:id="rId3"/>
    <sheet name="Таблица 4" sheetId="5" r:id="rId4"/>
    <sheet name="Таблица 5" sheetId="6" r:id="rId5"/>
    <sheet name="Таблица 6" sheetId="7" r:id="rId6"/>
    <sheet name="Таблица 7" sheetId="8" r:id="rId7"/>
    <sheet name="Таблица 8" sheetId="9" r:id="rId8"/>
    <sheet name="Таблица 9" sheetId="10" r:id="rId9"/>
    <sheet name="СОСТ 2020" sheetId="12" state="hidden" r:id="rId10"/>
    <sheet name="БУСТ 2020" sheetId="11" state="hidden" r:id="rId11"/>
    <sheet name="БУСТ 2021" sheetId="13" state="hidden" r:id="rId12"/>
  </sheets>
  <definedNames>
    <definedName name="_xlnm._FilterDatabase" localSheetId="10" hidden="1">'БУСТ 2020'!$A$7:$L$14</definedName>
    <definedName name="_xlnm.Print_Titles" localSheetId="10">'БУСТ 2020'!$4:$7</definedName>
    <definedName name="_xlnm.Print_Titles" localSheetId="1">'Таблица 2'!$6:$6</definedName>
    <definedName name="_xlnm.Print_Titles" localSheetId="3">'Таблица 4'!$5:$5</definedName>
    <definedName name="_xlnm.Print_Titles" localSheetId="5">'Таблица 6'!$6:$6</definedName>
    <definedName name="_xlnm.Print_Area" localSheetId="11">'БУСТ 2021'!$A$1:$P$12</definedName>
    <definedName name="_xlnm.Print_Area" localSheetId="5">'Таблица 6'!$A$1:$I$51</definedName>
  </definedNames>
  <calcPr calcId="125725"/>
</workbook>
</file>

<file path=xl/calcChain.xml><?xml version="1.0" encoding="utf-8"?>
<calcChain xmlns="http://schemas.openxmlformats.org/spreadsheetml/2006/main">
  <c r="E28" i="7"/>
  <c r="E7" i="6"/>
  <c r="D22" i="5"/>
  <c r="D21"/>
  <c r="D20"/>
  <c r="D19"/>
  <c r="D16"/>
  <c r="D15"/>
  <c r="D14"/>
  <c r="D13"/>
  <c r="D12"/>
  <c r="D11"/>
  <c r="D10"/>
  <c r="D9"/>
  <c r="I13" i="7"/>
  <c r="H13"/>
  <c r="G13"/>
  <c r="F13"/>
  <c r="E13"/>
  <c r="E10"/>
  <c r="E9"/>
  <c r="H11" i="13" l="1"/>
  <c r="H10"/>
  <c r="H9"/>
  <c r="H8"/>
  <c r="H7"/>
  <c r="H6"/>
  <c r="H5"/>
  <c r="G5"/>
  <c r="G6"/>
  <c r="G7"/>
  <c r="G8"/>
  <c r="G9"/>
  <c r="G10"/>
  <c r="G11"/>
  <c r="F11"/>
  <c r="F10"/>
  <c r="F9"/>
  <c r="F8"/>
  <c r="F7"/>
  <c r="F6"/>
  <c r="F5"/>
  <c r="L12"/>
  <c r="F25" i="2"/>
  <c r="F24"/>
  <c r="F23"/>
  <c r="G24"/>
  <c r="G25" s="1"/>
  <c r="G23"/>
  <c r="G19"/>
  <c r="G16"/>
  <c r="G15"/>
  <c r="G12"/>
  <c r="G13" s="1"/>
  <c r="G11"/>
  <c r="H19"/>
  <c r="H16"/>
  <c r="H15"/>
  <c r="I19"/>
  <c r="I16"/>
  <c r="I15"/>
  <c r="O12" i="13"/>
  <c r="N12"/>
  <c r="E27" i="7"/>
  <c r="E26"/>
  <c r="E25"/>
  <c r="E24"/>
  <c r="E23"/>
  <c r="P7" i="13" l="1"/>
  <c r="I6"/>
  <c r="I10"/>
  <c r="P9"/>
  <c r="I9"/>
  <c r="I8"/>
  <c r="K6"/>
  <c r="I11"/>
  <c r="P8"/>
  <c r="I7"/>
  <c r="I5"/>
  <c r="P5"/>
  <c r="F22" i="5"/>
  <c r="F20"/>
  <c r="F18"/>
  <c r="F16"/>
  <c r="F14"/>
  <c r="F12"/>
  <c r="F10"/>
  <c r="I9" i="2"/>
  <c r="H9"/>
  <c r="G9"/>
  <c r="F9"/>
  <c r="I8"/>
  <c r="H8"/>
  <c r="G8"/>
  <c r="F8"/>
  <c r="I7"/>
  <c r="H7"/>
  <c r="G7"/>
  <c r="F7"/>
  <c r="E9"/>
  <c r="E8"/>
  <c r="E7"/>
  <c r="I7" i="5"/>
  <c r="H7"/>
  <c r="G7"/>
  <c r="E7"/>
  <c r="I6"/>
  <c r="H6"/>
  <c r="G6"/>
  <c r="F6"/>
  <c r="E6"/>
  <c r="I47" i="7"/>
  <c r="H47"/>
  <c r="G47"/>
  <c r="I46"/>
  <c r="H46"/>
  <c r="K10" i="13" l="1"/>
  <c r="P6"/>
  <c r="K9"/>
  <c r="K11"/>
  <c r="P11"/>
  <c r="P10"/>
  <c r="K8"/>
  <c r="K7"/>
  <c r="K5"/>
  <c r="F7" i="5"/>
  <c r="F12" i="13"/>
  <c r="I21" i="7"/>
  <c r="H21"/>
  <c r="G21"/>
  <c r="D12"/>
  <c r="D11"/>
  <c r="F10" i="12"/>
  <c r="F9"/>
  <c r="F8"/>
  <c r="F7"/>
  <c r="F6"/>
  <c r="F5"/>
  <c r="P12" i="13" l="1"/>
  <c r="K14" i="11"/>
  <c r="J14"/>
  <c r="I14"/>
  <c r="H14"/>
  <c r="G14"/>
  <c r="F13"/>
  <c r="F12"/>
  <c r="F11"/>
  <c r="F10"/>
  <c r="F9"/>
  <c r="F8"/>
  <c r="F14" l="1"/>
  <c r="E21" i="7" l="1"/>
  <c r="J11" i="12" l="1"/>
  <c r="E33" i="7" s="1"/>
  <c r="E40" l="1"/>
  <c r="E47" s="1"/>
  <c r="K11" i="12"/>
  <c r="E34" i="7" s="1"/>
  <c r="G11" i="12"/>
  <c r="E30" i="7" s="1"/>
  <c r="H11" i="12"/>
  <c r="E31" i="7" s="1"/>
  <c r="I7" i="8"/>
  <c r="H7"/>
  <c r="G7"/>
  <c r="F7"/>
  <c r="I10"/>
  <c r="H10"/>
  <c r="I9"/>
  <c r="H9"/>
  <c r="G9"/>
  <c r="E7"/>
  <c r="B10"/>
  <c r="B9"/>
  <c r="B8"/>
  <c r="B7"/>
  <c r="D20" i="7"/>
  <c r="D19"/>
  <c r="E41" l="1"/>
  <c r="E48" s="1"/>
  <c r="E9" i="8"/>
  <c r="D7"/>
  <c r="D33" i="7"/>
  <c r="D31" i="2"/>
  <c r="D30"/>
  <c r="D29"/>
  <c r="D13"/>
  <c r="D12"/>
  <c r="D11"/>
  <c r="D28"/>
  <c r="D27"/>
  <c r="D26"/>
  <c r="D14"/>
  <c r="D16" l="1"/>
  <c r="D15"/>
  <c r="I16" i="4" l="1"/>
  <c r="I14" i="7" s="1"/>
  <c r="I18" s="1"/>
  <c r="H16" i="4"/>
  <c r="H14" i="7" s="1"/>
  <c r="H18" s="1"/>
  <c r="G16" i="4"/>
  <c r="G14" i="7" s="1"/>
  <c r="G18" s="1"/>
  <c r="G8" i="8" s="1"/>
  <c r="F16" i="4"/>
  <c r="F14" i="7" s="1"/>
  <c r="E16" i="4"/>
  <c r="E14" i="7" s="1"/>
  <c r="I8" i="8" l="1"/>
  <c r="I39" i="7"/>
  <c r="H8" i="8"/>
  <c r="H39" i="7"/>
  <c r="F18"/>
  <c r="E16"/>
  <c r="E18"/>
  <c r="D14"/>
  <c r="E37" l="1"/>
  <c r="E44" s="1"/>
  <c r="F8" i="8"/>
  <c r="F16" i="7"/>
  <c r="D18"/>
  <c r="E8" i="8"/>
  <c r="E17" i="7"/>
  <c r="H16"/>
  <c r="G16"/>
  <c r="G17"/>
  <c r="I16"/>
  <c r="I17"/>
  <c r="H17"/>
  <c r="F17"/>
  <c r="E38" l="1"/>
  <c r="E45" s="1"/>
  <c r="D8" i="8"/>
  <c r="D17" i="7"/>
  <c r="D16"/>
  <c r="D26" i="6"/>
  <c r="D25"/>
  <c r="D24"/>
  <c r="D23"/>
  <c r="D22"/>
  <c r="D21"/>
  <c r="D20"/>
  <c r="D19"/>
  <c r="D18"/>
  <c r="D17"/>
  <c r="D16"/>
  <c r="D15"/>
  <c r="D13"/>
  <c r="D12"/>
  <c r="D11"/>
  <c r="D10"/>
  <c r="D9"/>
  <c r="I7"/>
  <c r="I28" i="7" s="1"/>
  <c r="H7" i="6"/>
  <c r="H28" i="7" s="1"/>
  <c r="G7" i="6"/>
  <c r="G28" i="7" s="1"/>
  <c r="F7" i="6"/>
  <c r="F28" i="7" s="1"/>
  <c r="I6" i="6"/>
  <c r="H6"/>
  <c r="G6"/>
  <c r="F6"/>
  <c r="E6"/>
  <c r="I31" i="7" l="1"/>
  <c r="I30"/>
  <c r="F32"/>
  <c r="F31" s="1"/>
  <c r="F34"/>
  <c r="I34"/>
  <c r="H34"/>
  <c r="H30" s="1"/>
  <c r="G34"/>
  <c r="G32"/>
  <c r="G30" s="1"/>
  <c r="D6" i="6"/>
  <c r="I11" i="1"/>
  <c r="H11"/>
  <c r="G11"/>
  <c r="F11"/>
  <c r="E11"/>
  <c r="D17" i="5"/>
  <c r="D6" s="1"/>
  <c r="I7" i="4"/>
  <c r="H7"/>
  <c r="G7"/>
  <c r="F7"/>
  <c r="E7"/>
  <c r="I6"/>
  <c r="H6"/>
  <c r="G6"/>
  <c r="F6"/>
  <c r="E6"/>
  <c r="I12"/>
  <c r="H12"/>
  <c r="G12"/>
  <c r="F12"/>
  <c r="E12"/>
  <c r="I11"/>
  <c r="I10" i="1" s="1"/>
  <c r="H11" i="4"/>
  <c r="H10" i="1" s="1"/>
  <c r="G11" i="4"/>
  <c r="G10" i="1" s="1"/>
  <c r="F11" i="4"/>
  <c r="F10" i="1" s="1"/>
  <c r="E11" i="4"/>
  <c r="E10" i="1" s="1"/>
  <c r="D14" i="4"/>
  <c r="G31" i="7" l="1"/>
  <c r="H31"/>
  <c r="F30"/>
  <c r="G39"/>
  <c r="G46" s="1"/>
  <c r="F10" i="8"/>
  <c r="D12" i="4"/>
  <c r="G10" i="8"/>
  <c r="D11" i="1"/>
  <c r="D10"/>
  <c r="D11" i="4"/>
  <c r="H7" i="7" l="1"/>
  <c r="G7"/>
  <c r="I7"/>
  <c r="F7"/>
  <c r="E7"/>
  <c r="D25" i="2"/>
  <c r="D22"/>
  <c r="I7" i="1"/>
  <c r="H7"/>
  <c r="G7"/>
  <c r="F7"/>
  <c r="E7"/>
  <c r="D24" i="2"/>
  <c r="D23"/>
  <c r="D10" i="4"/>
  <c r="D16" s="1"/>
  <c r="D7" i="1" l="1"/>
  <c r="D7" i="7"/>
  <c r="I9"/>
  <c r="I10"/>
  <c r="H10"/>
  <c r="H9"/>
  <c r="G10"/>
  <c r="G9"/>
  <c r="F9"/>
  <c r="F10"/>
  <c r="D19" i="2"/>
  <c r="D9"/>
  <c r="I12" i="1"/>
  <c r="H12"/>
  <c r="E12"/>
  <c r="E9"/>
  <c r="D20" i="2"/>
  <c r="D18"/>
  <c r="D17"/>
  <c r="G12" i="1"/>
  <c r="F12"/>
  <c r="D9" i="4"/>
  <c r="I9" i="1"/>
  <c r="H9"/>
  <c r="G9"/>
  <c r="F9"/>
  <c r="D21" i="2"/>
  <c r="I8" i="1"/>
  <c r="H8"/>
  <c r="G8"/>
  <c r="F8"/>
  <c r="D10" i="7" l="1"/>
  <c r="D12" i="1"/>
  <c r="D13" i="7"/>
  <c r="D9"/>
  <c r="D9" i="1"/>
  <c r="E9" i="9"/>
  <c r="D7" i="2"/>
  <c r="E8" i="1"/>
  <c r="D8" s="1"/>
  <c r="E10" i="9"/>
  <c r="G8"/>
  <c r="D7" i="4"/>
  <c r="D6"/>
  <c r="E6" i="9" l="1"/>
  <c r="E7"/>
  <c r="D8" i="2"/>
  <c r="H5" i="8"/>
  <c r="H6" s="1"/>
  <c r="H8" i="9"/>
  <c r="I5" i="8"/>
  <c r="I6" s="1"/>
  <c r="I8" i="9"/>
  <c r="G5" i="8"/>
  <c r="G6" s="1"/>
  <c r="D34" i="7" l="1"/>
  <c r="D30"/>
  <c r="D31" l="1"/>
  <c r="D7" i="6"/>
  <c r="I11" i="12"/>
  <c r="F11"/>
  <c r="E39" i="7" l="1"/>
  <c r="E46" s="1"/>
  <c r="E35"/>
  <c r="D32"/>
  <c r="E10" i="8"/>
  <c r="D10" s="1"/>
  <c r="D28" i="7"/>
  <c r="D14" i="6"/>
  <c r="E5" i="9" l="1"/>
  <c r="E42" i="7"/>
  <c r="E5" i="8"/>
  <c r="E8" i="9"/>
  <c r="E6" i="8" l="1"/>
  <c r="I35" i="7"/>
  <c r="I42" s="1"/>
  <c r="G35"/>
  <c r="G42" s="1"/>
  <c r="G40"/>
  <c r="G9" i="9" s="1"/>
  <c r="I41" i="7"/>
  <c r="I48" s="1"/>
  <c r="H41"/>
  <c r="H48" s="1"/>
  <c r="I38"/>
  <c r="I45" s="1"/>
  <c r="H35"/>
  <c r="H42" s="1"/>
  <c r="H37"/>
  <c r="H44" s="1"/>
  <c r="I7" i="9" l="1"/>
  <c r="H5"/>
  <c r="I5"/>
  <c r="H6"/>
  <c r="I10"/>
  <c r="G5"/>
  <c r="H10"/>
  <c r="H40" i="7"/>
  <c r="H9" i="9" s="1"/>
  <c r="I37" i="7"/>
  <c r="I44" s="1"/>
  <c r="I40"/>
  <c r="I9" i="9" s="1"/>
  <c r="H38" i="7"/>
  <c r="H45" s="1"/>
  <c r="G41"/>
  <c r="G48" s="1"/>
  <c r="G10" i="9" l="1"/>
  <c r="I6"/>
  <c r="H7"/>
  <c r="G38" i="7"/>
  <c r="G45" s="1"/>
  <c r="G37"/>
  <c r="G44" s="1"/>
  <c r="G6" i="9" l="1"/>
  <c r="G7"/>
  <c r="G12" i="13"/>
  <c r="F23" i="7" s="1"/>
  <c r="D23" s="1"/>
  <c r="D37" s="1"/>
  <c r="D44" s="1"/>
  <c r="J12" i="13"/>
  <c r="F26" i="7" s="1"/>
  <c r="I12" i="13"/>
  <c r="F25" i="7" s="1"/>
  <c r="D25" s="1"/>
  <c r="D39" s="1"/>
  <c r="D46" s="1"/>
  <c r="K12" i="13"/>
  <c r="F27" i="7" s="1"/>
  <c r="D27" s="1"/>
  <c r="D41" s="1"/>
  <c r="D48" s="1"/>
  <c r="H12" i="13"/>
  <c r="F24" i="7" s="1"/>
  <c r="D24" s="1"/>
  <c r="D38" s="1"/>
  <c r="D45" s="1"/>
  <c r="F40" l="1"/>
  <c r="D26"/>
  <c r="D40" s="1"/>
  <c r="D47" s="1"/>
  <c r="F37"/>
  <c r="F44" s="1"/>
  <c r="F41"/>
  <c r="F10" i="9" s="1"/>
  <c r="D10" s="1"/>
  <c r="F9" i="8"/>
  <c r="D9" s="1"/>
  <c r="F21" i="7"/>
  <c r="D21" s="1"/>
  <c r="D35" s="1"/>
  <c r="D42" s="1"/>
  <c r="F38"/>
  <c r="F45" s="1"/>
  <c r="F39"/>
  <c r="F8" i="9" s="1"/>
  <c r="D8" s="1"/>
  <c r="D18" i="5"/>
  <c r="D7" s="1"/>
  <c r="F47" i="7" l="1"/>
  <c r="F9" i="9"/>
  <c r="D9" s="1"/>
  <c r="F48" i="7"/>
  <c r="F6" i="9"/>
  <c r="D6" s="1"/>
  <c r="F7"/>
  <c r="D7" s="1"/>
  <c r="F5" i="8"/>
  <c r="F6" s="1"/>
  <c r="D6" s="1"/>
  <c r="F35" i="7"/>
  <c r="F42" s="1"/>
  <c r="F46"/>
  <c r="F5" i="9" l="1"/>
  <c r="D5" s="1"/>
  <c r="D5" i="8"/>
</calcChain>
</file>

<file path=xl/comments1.xml><?xml version="1.0" encoding="utf-8"?>
<comments xmlns="http://schemas.openxmlformats.org/spreadsheetml/2006/main">
  <authors>
    <author>Сергей</author>
  </authors>
  <commentList>
    <comment ref="G11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Ходырев (строитель)
</t>
        </r>
      </text>
    </comment>
    <comment ref="F23" authorId="0">
      <text>
        <r>
          <rPr>
            <b/>
            <sz val="9"/>
            <color indexed="81"/>
            <rFont val="Tahoma"/>
            <family val="2"/>
            <charset val="204"/>
          </rPr>
          <t>Костин
Коробейникова</t>
        </r>
      </text>
    </comment>
    <comment ref="G2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Быданцев
</t>
        </r>
      </text>
    </comment>
  </commentList>
</comments>
</file>

<file path=xl/sharedStrings.xml><?xml version="1.0" encoding="utf-8"?>
<sst xmlns="http://schemas.openxmlformats.org/spreadsheetml/2006/main" count="426" uniqueCount="172">
  <si>
    <t>№ п/п</t>
  </si>
  <si>
    <t>Наименование программы, наименование показателя</t>
  </si>
  <si>
    <t>Ед. изм.</t>
  </si>
  <si>
    <t xml:space="preserve">2020 год </t>
  </si>
  <si>
    <t>2021 год</t>
  </si>
  <si>
    <t>2022 год</t>
  </si>
  <si>
    <t>2023 год</t>
  </si>
  <si>
    <t>2024 год</t>
  </si>
  <si>
    <t>1.</t>
  </si>
  <si>
    <t>кв.м.</t>
  </si>
  <si>
    <t>2.</t>
  </si>
  <si>
    <t>км.</t>
  </si>
  <si>
    <t>3.</t>
  </si>
  <si>
    <t>проект</t>
  </si>
  <si>
    <t>4.</t>
  </si>
  <si>
    <t>Сведения о целевых показателях эффективности реализации муниципальной программы</t>
  </si>
  <si>
    <t>Таблица 1</t>
  </si>
  <si>
    <t>Показатели</t>
  </si>
  <si>
    <t>Всего</t>
  </si>
  <si>
    <t>2020 год</t>
  </si>
  <si>
    <t>- Березниковское сельское поселение</t>
  </si>
  <si>
    <t>- Большеперелазское сельское поселение</t>
  </si>
  <si>
    <t>- Верхобыстрицкое сельское поселение</t>
  </si>
  <si>
    <t>- Вичевское сельское поселение</t>
  </si>
  <si>
    <t>- Вожгальское сельское поселение</t>
  </si>
  <si>
    <t>Таблица 2</t>
  </si>
  <si>
    <t>домов/ квартир</t>
  </si>
  <si>
    <t>тыс. руб.</t>
  </si>
  <si>
    <t>тыс.руб.</t>
  </si>
  <si>
    <t>Таблица 4</t>
  </si>
  <si>
    <t>Таблица 5</t>
  </si>
  <si>
    <t>Таблица 6</t>
  </si>
  <si>
    <t>Наименование мероприятия программы</t>
  </si>
  <si>
    <t>Объемы и источники финансирования</t>
  </si>
  <si>
    <t>Объем финансирования – всего,</t>
  </si>
  <si>
    <t>в том числе за счет средств:</t>
  </si>
  <si>
    <t>- федеральный бюджет</t>
  </si>
  <si>
    <t>- региональный бюджет</t>
  </si>
  <si>
    <t>- районный бюджет</t>
  </si>
  <si>
    <t>- бюджет поселений</t>
  </si>
  <si>
    <t>- внебюджетные источники</t>
  </si>
  <si>
    <t>1.1</t>
  </si>
  <si>
    <t>5.</t>
  </si>
  <si>
    <t>Итого по всем мероприятиям Программы</t>
  </si>
  <si>
    <t>Примечание: согласно п.2.5.6 и 2.7. Постановления правительства Кировской области от 20.11.2014 № 11/138 "О порядке предоставления социальных выплат на строительство</t>
  </si>
  <si>
    <t xml:space="preserve"> (приобретение) жилья гражданам Российской Федерации, проживающим в сельской местности, в том числе молодым семьям и молодым специалистам"</t>
  </si>
  <si>
    <t>с 01.01.2015 социальные выплаты зачисляются на банковские счета их получателей</t>
  </si>
  <si>
    <t>Таблица 7</t>
  </si>
  <si>
    <t>6.</t>
  </si>
  <si>
    <t>Расходы на реализацию муниципальной программы за счет средств районного бюджета</t>
  </si>
  <si>
    <t>Статус</t>
  </si>
  <si>
    <t>Ответственный исполнитель, соисполнители, муниципальный заказчик (муниципальный заказчик-координатор)</t>
  </si>
  <si>
    <t>Всего:</t>
  </si>
  <si>
    <t>Таблица 8</t>
  </si>
  <si>
    <t>Таблица 9</t>
  </si>
  <si>
    <t>Прогнозная (справочная) оценка ресурсного обеспечения реализации муниципальной программы
за счет всех источников финансирования</t>
  </si>
  <si>
    <t xml:space="preserve">Источники  финансирования
</t>
  </si>
  <si>
    <t>Наименование риска</t>
  </si>
  <si>
    <t>Уровень влияния</t>
  </si>
  <si>
    <t>Меры по снижению риска</t>
  </si>
  <si>
    <t>Экономические риски</t>
  </si>
  <si>
    <t>высокий</t>
  </si>
  <si>
    <t>Природные риски</t>
  </si>
  <si>
    <t xml:space="preserve">Социальные риски </t>
  </si>
  <si>
    <t>предоставление государственной поддержки на улучшение жилищных условий и строительство объектов социальной и инженерной инфраструктуры</t>
  </si>
  <si>
    <t>осуществление прогнозирования развития ситуации в сфере агропромышленного комплекса с учетом возможного колебания погодных условий; обеспечение перехода к новым технологиям, своевременной технической модернизации, проведения мелиорации почв; использование страховых механизмов в производстве и переработке сельскохозяйственной продукции</t>
  </si>
  <si>
    <t>осуществление прогнозирования развития ситуации в сфере агропромышленного комплекса с учетом возможного ухудшения экономической ситуации;предоставление государственной поддержки сельскохозяйственным товаропроизводителям, способствующей повышению их доходности</t>
  </si>
  <si>
    <t>Меры управления рисками, влияющими на реализацию муниципальной программы</t>
  </si>
  <si>
    <t>Объемы и источники финансирования мероприятий муниципальной программы в 2019-2024 годах</t>
  </si>
  <si>
    <t>- Речное сельское поселение</t>
  </si>
  <si>
    <t>- Куменское городское поселение</t>
  </si>
  <si>
    <t>- Нижнеивкинское городское поселение</t>
  </si>
  <si>
    <t>1.2</t>
  </si>
  <si>
    <t>1.3</t>
  </si>
  <si>
    <t>1.4</t>
  </si>
  <si>
    <t>1.5</t>
  </si>
  <si>
    <t>1.6</t>
  </si>
  <si>
    <t>1.7</t>
  </si>
  <si>
    <t>1.8</t>
  </si>
  <si>
    <t>1.9</t>
  </si>
  <si>
    <t>- Куменское сельское поселение</t>
  </si>
  <si>
    <t>Объем ввода (приобретения) жилья для граждан, проживающих на сельских территориях</t>
  </si>
  <si>
    <t>Ввод в эксплуатацию автомобильных дорог общего пользования с твердым покрытием до сельских населенных пунктов, не имеющих круглогодичной связи с сетью автомобильных дорог общего пользования</t>
  </si>
  <si>
    <t>Реализация проектов по благоустройству сельских территорий Куменского района</t>
  </si>
  <si>
    <t>Реализация проектов комплексного развития сельских территорий</t>
  </si>
  <si>
    <t>в т.ч. по годам реализации программы</t>
  </si>
  <si>
    <t>Проектирование капитального ремонта автомобильных дорог общего пользования с твердым покрытием до сельских населенных пунктов, не имеющих круглогодичной связи с сетью автомобильных дорог общего пользования</t>
  </si>
  <si>
    <t>в т.ч. в разрезе автомобильных дорог:</t>
  </si>
  <si>
    <t xml:space="preserve"> - Вискаловщина - Бельтюги</t>
  </si>
  <si>
    <t>Капитальный ремонт автомобильных дорог общего пользования с твердым покрытием до сельских населенных пунктов, не имеющих круглогодичной связи с сетью автомобильных дорог общего пользования</t>
  </si>
  <si>
    <t>км</t>
  </si>
  <si>
    <t>Реализация мероприятия по созданию условий для обеспечения доступным и комфортным жильем сельского населения Куменского района</t>
  </si>
  <si>
    <t>Реализация общественно-значимых проектов по благоустройству сельских территорий</t>
  </si>
  <si>
    <t xml:space="preserve"> - в том числе в разрезе поселений:</t>
  </si>
  <si>
    <t>Строительство (приобретение) жилья</t>
  </si>
  <si>
    <t>Создание условий для обеспечения доступным и комфортным жильем сельского населения Куменского района</t>
  </si>
  <si>
    <t>Комлексное развитие сельских территорий Куменского района Кировской области</t>
  </si>
  <si>
    <t>Отдел сельского хозяйства администрации Куменского района</t>
  </si>
  <si>
    <t>2.1</t>
  </si>
  <si>
    <t>ИТОГО по мероприятию</t>
  </si>
  <si>
    <t xml:space="preserve">Наименование   муниципальной программы, подпрограммы,   
ведомственной программы, отдельного 
мероприятия
</t>
  </si>
  <si>
    <t>Наименование проекта с указанием населённого пункта</t>
  </si>
  <si>
    <t>Направления, включенные в проект</t>
  </si>
  <si>
    <t>Наименование и реквизиты документа, подтверждающего принятие решения о реализации проекта</t>
  </si>
  <si>
    <t>Численность населения, подтвердившего участие в реализации проекта, человек</t>
  </si>
  <si>
    <t>Стоимость проекта, тысяч рублей</t>
  </si>
  <si>
    <t>Цель и ожидаемые результаты реализации проекта</t>
  </si>
  <si>
    <t>всего</t>
  </si>
  <si>
    <t>в том числе средства:</t>
  </si>
  <si>
    <t>федераль-ного бюджета</t>
  </si>
  <si>
    <t>бюджета субъекта Российской Федерации</t>
  </si>
  <si>
    <t>внебюджет-     ных источников</t>
  </si>
  <si>
    <t xml:space="preserve">Обустройство площадок накопления твердых коммунальных отходов в деревне Ардашиха Вожгальского сельского поселения Куменского района </t>
  </si>
  <si>
    <t xml:space="preserve">Обустройство 
площадок накопления твердых коммунальных отходов
</t>
  </si>
  <si>
    <t>Вопрос принятия решения по реализации проекта вынесен на заседание Куменской районной Думы на 26.11.2019</t>
  </si>
  <si>
    <t>Повышение благоустройства деревни Ардашиха путем обустройства площадок накопления твердых коммунальных отходов</t>
  </si>
  <si>
    <t>Обустройство площадок накопления твердых коммунальных отходов в селе Бельтюги Вожгальского сельского поселения Куменского района Кировской области</t>
  </si>
  <si>
    <t>Повышение благоустройства села Бельтюги путем обустройства площадок накопления твердых коммунальных отходов</t>
  </si>
  <si>
    <t>Обустройство площадок накопления твердых коммунальных отходов в селе Вожгалы Вожгальского сельского поселения Куменского района</t>
  </si>
  <si>
    <t>Повышение благоустройства села Вожгалы путем обустройства площадок накопления твердых коммунальных отходов</t>
  </si>
  <si>
    <t xml:space="preserve">Обустройство площадок накопления твердых коммунальных отходов в деревне Грудцыны Вожгальского сельского поселения Куменского района </t>
  </si>
  <si>
    <t>Повышение благоустройства деревни Грудцыны путем обустройства площадок накопления твердых коммунальных отходов</t>
  </si>
  <si>
    <t>Обустройство площадок накопления твердых коммунальных отходов в поселке Краснооктябрьский Вожгальского сельского поселения Куменского района</t>
  </si>
  <si>
    <t>Повышение благоустройства поселка Краснооктябрьский путем обустройства площадок накопления твердых коммунальных отходов</t>
  </si>
  <si>
    <t>Обустройство площадок накопления твердых коммунальных отходов в деревне Чекоты Вожгальского сельского поселения Куменского района</t>
  </si>
  <si>
    <t>Повышение благоустройства деревни Чекоты путем обустройства площадок накопления твердых коммунальных отходов</t>
  </si>
  <si>
    <t>бюджета района</t>
  </si>
  <si>
    <t>бюджета поселений</t>
  </si>
  <si>
    <t>ИТОГО</t>
  </si>
  <si>
    <t>Объекты, включенные в проект</t>
  </si>
  <si>
    <t>Комплексное развитие деревни Большой Перелаз Куменского района Кировской области</t>
  </si>
  <si>
    <t>внебюджетных источников</t>
  </si>
  <si>
    <t>Капитальный ремонт здания муниципального казенного общеобразовательного учреждения основная общеобразовательная школа д.Большой Перелаз</t>
  </si>
  <si>
    <t>Капитальный ремонт здания дошкольной группы муниципального казенного общеобразовательного учреждения основная общеобразовательная школа д.Большой Перелаз</t>
  </si>
  <si>
    <t>Капитальный ремонт здания муниципального казенного учреждения Большеперелазский сельский дом культуры</t>
  </si>
  <si>
    <t>Комплексное развитие поселка Вичевщина Куменского района Кировской области</t>
  </si>
  <si>
    <t>Капитальный ремонт здания муниципального казенного общеобразовательного учреждения средняя общеобразовательная школа п.Вичевщина</t>
  </si>
  <si>
    <t>Капитальный ремонт здания муниципального казенного дошкольного образовательного учреждения детский сад "Звоночек" п. Вичевщина</t>
  </si>
  <si>
    <t>Капитальный ремонт здания муниципального казенного учреждения Вичевский дворец культуры</t>
  </si>
  <si>
    <t>ИТОГО:</t>
  </si>
  <si>
    <t>ОБЩЕСТВЕННО ЗНАЧИМЫЕ ПРОЕКТЫ ПО БЛАГОУСТРОЙСТВУ СЕЛЬСКИХ ТЕРРИТОРИЙ КУМЕНСКОГО РАЙОНА</t>
  </si>
  <si>
    <t>ПО ИСТОЧНИКАМ ФИНАНСИРОВАНИЯ</t>
  </si>
  <si>
    <t xml:space="preserve">Муниципальная программа «Комплексное развитие сельских территорий Куменского района Кировской области» </t>
  </si>
  <si>
    <t>Реализация мероприятия «Развитие транспортной инфраструктуры на сельских территориях Куменского района»</t>
  </si>
  <si>
    <t>Реализация мероприятия «Благоустройство сельских территорий Куменского района»</t>
  </si>
  <si>
    <t>Реализация мероприятия «Современный облик сельских территорий Куменского района»</t>
  </si>
  <si>
    <t>Развитие транспортной инфраструктуры на сельских территориях Куменского района</t>
  </si>
  <si>
    <t>Благоустройство сельских территорий Куменского района</t>
  </si>
  <si>
    <t>Современный облик сельских территорий Куменского района</t>
  </si>
  <si>
    <t xml:space="preserve"> - в том числе на территории поселений поселений:</t>
  </si>
  <si>
    <t>Таблица 3</t>
  </si>
  <si>
    <t>6.1</t>
  </si>
  <si>
    <t>в т.ч. по мероприятиям Программы, с финансированием за счет средств районного бюджета</t>
  </si>
  <si>
    <t>домов / квартир</t>
  </si>
  <si>
    <t>Площадки ТКО с крышей</t>
  </si>
  <si>
    <t>Площадки ТКО без крыши</t>
  </si>
  <si>
    <t>Строительство площадок накопления твердых коммунальных отходов на территории Березниковского сельского поселения (с.Березник)</t>
  </si>
  <si>
    <t>Строительство площадок накопления твердых коммунальных отходов на территории Большеперелазского сельского поселения (д.Большой Перелаз, д.Городчики, д.Дудинцы)</t>
  </si>
  <si>
    <t>Строительство площадок накопления твердых коммунальных отходов на территории Верхобыстрицкого сельского поселения (с.Верхобыстрица, д.Желны)</t>
  </si>
  <si>
    <t>Строительство площадок накопления твердых коммунальных отходов на территории Вичевского сельского поселения (п.Вичевщина, д.Смолины, д.Гаинцы, д.Ямное, д.Мерины, с.Кырмыж, д.Плотники)</t>
  </si>
  <si>
    <t>Строительство площадок накопления твердых коммунальных отходов на территории Куменского сельского поселения (д.Березник, с.Быково, с.Рябиново)</t>
  </si>
  <si>
    <t>Строительство площадок накопления твердых коммунальных отходов на территории Речного сельского поселения (п.Речной, п.Олимпийский, д.Слудное, д.Швецово)</t>
  </si>
  <si>
    <t>Строительство площадок накопления твердых коммунальных отходов на территории Вожгальского сельского поселения (с.Вожгалы, п.Краснооктябрьский, д.Ардашиха)</t>
  </si>
  <si>
    <t>Внебюджетные источники по проектам благоустройства по заявке поселения</t>
  </si>
  <si>
    <t>Протокол собрания жителей от 03.08.2020 - б/н</t>
  </si>
  <si>
    <t>Проотоколы собрания граждан от 27.07.2020 №2, от 27.07.2020 №3, от 27.07.2020 №4, от 28.07.2020 №5</t>
  </si>
  <si>
    <t>Проотоколы собрания граждан от 09.08.2020 №1, от 09.08.2020 №2</t>
  </si>
  <si>
    <t>Протоколы собрания граждан от 16.07.2020, 07.08.2020, 10.08.2020, 11.08.2020 - б/н</t>
  </si>
  <si>
    <t>Протоколы конференций жителей от 04.08.2020, от 05.08.2020, 07.08.2020</t>
  </si>
  <si>
    <t>Протоколы сельких сходов от 09.05.2020 №1, от 14.05.2020 №1, от 04.08.2020 №1</t>
  </si>
  <si>
    <t>Протоколы собрания граждан от 15.07.2020 - б/н</t>
  </si>
  <si>
    <t>Муниципальная програма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</si>
</sst>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.5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49" fontId="0" fillId="0" borderId="0" xfId="0" applyNumberFormat="1"/>
    <xf numFmtId="0" fontId="0" fillId="0" borderId="0" xfId="0" applyAlignment="1">
      <alignment horizontal="center" vertical="center"/>
    </xf>
    <xf numFmtId="49" fontId="0" fillId="0" borderId="5" xfId="0" applyNumberFormat="1" applyBorder="1" applyAlignment="1"/>
    <xf numFmtId="49" fontId="0" fillId="0" borderId="0" xfId="0" applyNumberFormat="1" applyAlignment="1"/>
    <xf numFmtId="49" fontId="4" fillId="0" borderId="5" xfId="0" applyNumberFormat="1" applyFont="1" applyBorder="1" applyAlignment="1"/>
    <xf numFmtId="49" fontId="4" fillId="0" borderId="0" xfId="0" applyNumberFormat="1" applyFont="1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6" fillId="0" borderId="0" xfId="0" applyFont="1"/>
    <xf numFmtId="0" fontId="1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 wrapText="1"/>
    </xf>
    <xf numFmtId="49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164" fontId="6" fillId="0" borderId="1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3" xfId="0" applyNumberFormat="1" applyFont="1" applyBorder="1" applyAlignment="1">
      <alignment horizontal="left" vertical="top" wrapText="1"/>
    </xf>
    <xf numFmtId="3" fontId="5" fillId="0" borderId="1" xfId="0" applyNumberFormat="1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6" fillId="0" borderId="0" xfId="0" applyNumberFormat="1" applyFont="1"/>
    <xf numFmtId="0" fontId="6" fillId="0" borderId="1" xfId="0" applyFont="1" applyBorder="1" applyAlignment="1">
      <alignment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1" fillId="0" borderId="1" xfId="0" applyFont="1" applyBorder="1"/>
    <xf numFmtId="164" fontId="1" fillId="0" borderId="1" xfId="0" applyNumberFormat="1" applyFont="1" applyBorder="1"/>
    <xf numFmtId="0" fontId="8" fillId="0" borderId="1" xfId="0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1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top" wrapText="1"/>
    </xf>
    <xf numFmtId="0" fontId="13" fillId="0" borderId="6" xfId="0" applyFont="1" applyBorder="1" applyAlignment="1">
      <alignment vertical="top" wrapText="1"/>
    </xf>
    <xf numFmtId="0" fontId="13" fillId="0" borderId="6" xfId="0" applyFont="1" applyBorder="1" applyAlignment="1">
      <alignment vertical="center" wrapText="1"/>
    </xf>
    <xf numFmtId="0" fontId="0" fillId="0" borderId="1" xfId="0" applyBorder="1"/>
    <xf numFmtId="164" fontId="13" fillId="0" borderId="1" xfId="0" applyNumberFormat="1" applyFont="1" applyBorder="1" applyAlignment="1">
      <alignment horizontal="center" vertical="center" wrapText="1"/>
    </xf>
    <xf numFmtId="16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3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lef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left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left" vertical="top" wrapText="1"/>
    </xf>
    <xf numFmtId="49" fontId="5" fillId="0" borderId="4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left"/>
    </xf>
    <xf numFmtId="49" fontId="6" fillId="0" borderId="1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3" fillId="0" borderId="8" xfId="0" applyFont="1" applyBorder="1" applyAlignment="1">
      <alignment horizontal="left" vertical="center" wrapText="1"/>
    </xf>
    <xf numFmtId="9" fontId="12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"/>
  <sheetViews>
    <sheetView workbookViewId="0">
      <selection activeCell="B12" sqref="B12"/>
    </sheetView>
  </sheetViews>
  <sheetFormatPr defaultRowHeight="15"/>
  <cols>
    <col min="1" max="1" width="9.140625" style="5"/>
    <col min="2" max="2" width="60.7109375" style="5" customWidth="1"/>
    <col min="3" max="16384" width="9.140625" style="5"/>
  </cols>
  <sheetData>
    <row r="1" spans="1:9" ht="18.75">
      <c r="A1" s="99" t="s">
        <v>15</v>
      </c>
      <c r="B1" s="99"/>
      <c r="C1" s="99"/>
      <c r="D1" s="99"/>
      <c r="E1" s="99"/>
      <c r="F1" s="99"/>
      <c r="G1" s="99"/>
      <c r="H1" s="99"/>
      <c r="I1" s="99"/>
    </row>
    <row r="2" spans="1:9">
      <c r="I2" s="4" t="s">
        <v>16</v>
      </c>
    </row>
    <row r="3" spans="1:9" s="7" customFormat="1" ht="15.75">
      <c r="A3" s="100" t="s">
        <v>0</v>
      </c>
      <c r="B3" s="100" t="s">
        <v>1</v>
      </c>
      <c r="C3" s="100" t="s">
        <v>2</v>
      </c>
      <c r="D3" s="102" t="s">
        <v>18</v>
      </c>
      <c r="E3" s="101" t="s">
        <v>85</v>
      </c>
      <c r="F3" s="101"/>
      <c r="G3" s="101"/>
      <c r="H3" s="101"/>
      <c r="I3" s="101"/>
    </row>
    <row r="4" spans="1:9" s="7" customFormat="1" ht="28.5">
      <c r="A4" s="100"/>
      <c r="B4" s="100"/>
      <c r="C4" s="100"/>
      <c r="D4" s="103"/>
      <c r="E4" s="8" t="s">
        <v>3</v>
      </c>
      <c r="F4" s="8" t="s">
        <v>4</v>
      </c>
      <c r="G4" s="8" t="s">
        <v>5</v>
      </c>
      <c r="H4" s="8" t="s">
        <v>6</v>
      </c>
      <c r="I4" s="8" t="s">
        <v>7</v>
      </c>
    </row>
    <row r="5" spans="1:9" s="7" customFormat="1" ht="14.25">
      <c r="A5" s="8">
        <v>1</v>
      </c>
      <c r="B5" s="8">
        <v>2</v>
      </c>
      <c r="C5" s="8">
        <v>3</v>
      </c>
      <c r="D5" s="48">
        <v>4</v>
      </c>
      <c r="E5" s="48">
        <v>5</v>
      </c>
      <c r="F5" s="48">
        <v>6</v>
      </c>
      <c r="G5" s="48">
        <v>7</v>
      </c>
      <c r="H5" s="48">
        <v>8</v>
      </c>
      <c r="I5" s="48">
        <v>9</v>
      </c>
    </row>
    <row r="6" spans="1:9" ht="42.75">
      <c r="A6" s="1"/>
      <c r="B6" s="2" t="s">
        <v>142</v>
      </c>
      <c r="C6" s="3"/>
      <c r="D6" s="3"/>
      <c r="E6" s="3"/>
      <c r="F6" s="3"/>
      <c r="G6" s="3"/>
      <c r="H6" s="3"/>
      <c r="I6" s="3"/>
    </row>
    <row r="7" spans="1:9" ht="30">
      <c r="A7" s="96">
        <v>1</v>
      </c>
      <c r="B7" s="104" t="s">
        <v>81</v>
      </c>
      <c r="C7" s="52" t="s">
        <v>153</v>
      </c>
      <c r="D7" s="52">
        <f>SUM(E7:I7)</f>
        <v>25</v>
      </c>
      <c r="E7" s="52">
        <f>'Таблица 2'!E7</f>
        <v>0</v>
      </c>
      <c r="F7" s="52">
        <f>'Таблица 2'!F7</f>
        <v>2</v>
      </c>
      <c r="G7" s="52">
        <f>'Таблица 2'!G7</f>
        <v>9</v>
      </c>
      <c r="H7" s="52">
        <f>'Таблица 2'!H7</f>
        <v>8</v>
      </c>
      <c r="I7" s="52">
        <f>'Таблица 2'!I7</f>
        <v>6</v>
      </c>
    </row>
    <row r="8" spans="1:9" ht="30" customHeight="1">
      <c r="A8" s="97"/>
      <c r="B8" s="105"/>
      <c r="C8" s="52" t="s">
        <v>9</v>
      </c>
      <c r="D8" s="52">
        <f>SUM(E8:I8)</f>
        <v>1709</v>
      </c>
      <c r="E8" s="52">
        <f>'Таблица 2'!E8</f>
        <v>0</v>
      </c>
      <c r="F8" s="52">
        <f>'Таблица 2'!F8</f>
        <v>288</v>
      </c>
      <c r="G8" s="52">
        <f>'Таблица 2'!G8</f>
        <v>520</v>
      </c>
      <c r="H8" s="52">
        <f>'Таблица 2'!H8</f>
        <v>541</v>
      </c>
      <c r="I8" s="52">
        <f>'Таблица 2'!I8</f>
        <v>360</v>
      </c>
    </row>
    <row r="9" spans="1:9" ht="30" customHeight="1">
      <c r="A9" s="96">
        <v>2</v>
      </c>
      <c r="B9" s="98" t="s">
        <v>82</v>
      </c>
      <c r="C9" s="52" t="s">
        <v>13</v>
      </c>
      <c r="D9" s="52">
        <f t="shared" ref="D9:D12" si="0">SUM(E9:I9)</f>
        <v>1</v>
      </c>
      <c r="E9" s="52">
        <f>'Таблица 3'!E6</f>
        <v>0</v>
      </c>
      <c r="F9" s="52">
        <f>'Таблица 3'!F6</f>
        <v>1</v>
      </c>
      <c r="G9" s="52">
        <f>'Таблица 3'!G6</f>
        <v>0</v>
      </c>
      <c r="H9" s="52">
        <f>'Таблица 3'!H6</f>
        <v>0</v>
      </c>
      <c r="I9" s="52">
        <f>'Таблица 3'!I6</f>
        <v>0</v>
      </c>
    </row>
    <row r="10" spans="1:9" ht="30" customHeight="1">
      <c r="A10" s="97"/>
      <c r="B10" s="98"/>
      <c r="C10" s="52" t="s">
        <v>11</v>
      </c>
      <c r="D10" s="52">
        <f t="shared" si="0"/>
        <v>5.0730000000000004</v>
      </c>
      <c r="E10" s="52">
        <f>'Таблица 3'!E11</f>
        <v>0</v>
      </c>
      <c r="F10" s="52">
        <f>'Таблица 3'!F11</f>
        <v>0</v>
      </c>
      <c r="G10" s="52">
        <f>'Таблица 3'!G11</f>
        <v>5.0730000000000004</v>
      </c>
      <c r="H10" s="52">
        <f>'Таблица 3'!H11</f>
        <v>0</v>
      </c>
      <c r="I10" s="52">
        <f>'Таблица 3'!I11</f>
        <v>0</v>
      </c>
    </row>
    <row r="11" spans="1:9" ht="30" customHeight="1">
      <c r="A11" s="52">
        <v>3</v>
      </c>
      <c r="B11" s="18" t="s">
        <v>83</v>
      </c>
      <c r="C11" s="52" t="s">
        <v>13</v>
      </c>
      <c r="D11" s="52">
        <f t="shared" si="0"/>
        <v>8</v>
      </c>
      <c r="E11" s="52">
        <f>'Таблица 4'!E6</f>
        <v>1</v>
      </c>
      <c r="F11" s="52">
        <f>'Таблица 4'!F6</f>
        <v>7</v>
      </c>
      <c r="G11" s="52">
        <f>'Таблица 4'!G6</f>
        <v>0</v>
      </c>
      <c r="H11" s="52">
        <f>'Таблица 4'!H6</f>
        <v>0</v>
      </c>
      <c r="I11" s="52">
        <f>'Таблица 4'!I6</f>
        <v>0</v>
      </c>
    </row>
    <row r="12" spans="1:9" ht="30" customHeight="1">
      <c r="A12" s="52">
        <v>4</v>
      </c>
      <c r="B12" s="18" t="s">
        <v>84</v>
      </c>
      <c r="C12" s="52" t="s">
        <v>13</v>
      </c>
      <c r="D12" s="52">
        <f t="shared" si="0"/>
        <v>0</v>
      </c>
      <c r="E12" s="52">
        <f>'Таблица 5'!E6</f>
        <v>0</v>
      </c>
      <c r="F12" s="52">
        <f>'Таблица 5'!F6</f>
        <v>0</v>
      </c>
      <c r="G12" s="52">
        <f>'Таблица 5'!G6</f>
        <v>0</v>
      </c>
      <c r="H12" s="52">
        <f>'Таблица 5'!H6</f>
        <v>0</v>
      </c>
      <c r="I12" s="52">
        <f>'Таблица 5'!I6</f>
        <v>0</v>
      </c>
    </row>
  </sheetData>
  <mergeCells count="10">
    <mergeCell ref="A9:A10"/>
    <mergeCell ref="B9:B10"/>
    <mergeCell ref="A1:I1"/>
    <mergeCell ref="A3:A4"/>
    <mergeCell ref="B3:B4"/>
    <mergeCell ref="C3:C4"/>
    <mergeCell ref="E3:I3"/>
    <mergeCell ref="D3:D4"/>
    <mergeCell ref="A7:A8"/>
    <mergeCell ref="B7:B8"/>
  </mergeCells>
  <pageMargins left="0.70866141732283472" right="0.70866141732283472" top="0.74803149606299213" bottom="0.74803149606299213" header="0.31496062992125984" footer="0.31496062992125984"/>
  <pageSetup paperSize="9" scale="97" firstPageNumber="18" orientation="landscape" useFirstPageNumber="1" verticalDpi="0" r:id="rId1"/>
  <headerFooter>
    <oddFooter>&amp;RСтраница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K11"/>
  <sheetViews>
    <sheetView workbookViewId="0">
      <selection activeCell="F6" sqref="F6"/>
    </sheetView>
  </sheetViews>
  <sheetFormatPr defaultRowHeight="15"/>
  <cols>
    <col min="2" max="4" width="20.7109375" customWidth="1"/>
    <col min="6" max="11" width="10.7109375" customWidth="1"/>
  </cols>
  <sheetData>
    <row r="1" spans="1:11">
      <c r="A1" s="146" t="s">
        <v>0</v>
      </c>
      <c r="B1" s="146" t="s">
        <v>101</v>
      </c>
      <c r="C1" s="134" t="s">
        <v>129</v>
      </c>
      <c r="D1" s="137" t="s">
        <v>103</v>
      </c>
      <c r="E1" s="137" t="s">
        <v>104</v>
      </c>
      <c r="F1" s="137" t="s">
        <v>105</v>
      </c>
      <c r="G1" s="137"/>
      <c r="H1" s="137"/>
      <c r="I1" s="137"/>
      <c r="J1" s="137"/>
      <c r="K1" s="137"/>
    </row>
    <row r="2" spans="1:11">
      <c r="A2" s="146"/>
      <c r="B2" s="146"/>
      <c r="C2" s="135"/>
      <c r="D2" s="137"/>
      <c r="E2" s="137"/>
      <c r="F2" s="137" t="s">
        <v>107</v>
      </c>
      <c r="G2" s="137" t="s">
        <v>108</v>
      </c>
      <c r="H2" s="137"/>
      <c r="I2" s="137"/>
      <c r="J2" s="137"/>
      <c r="K2" s="137"/>
    </row>
    <row r="3" spans="1:11" ht="51">
      <c r="A3" s="146"/>
      <c r="B3" s="146"/>
      <c r="C3" s="136"/>
      <c r="D3" s="137"/>
      <c r="E3" s="137"/>
      <c r="F3" s="137"/>
      <c r="G3" s="63" t="s">
        <v>109</v>
      </c>
      <c r="H3" s="63" t="s">
        <v>110</v>
      </c>
      <c r="I3" s="63" t="s">
        <v>126</v>
      </c>
      <c r="J3" s="63" t="s">
        <v>127</v>
      </c>
      <c r="K3" s="63" t="s">
        <v>131</v>
      </c>
    </row>
    <row r="4" spans="1:11">
      <c r="A4" s="64">
        <v>1</v>
      </c>
      <c r="B4" s="64">
        <v>2</v>
      </c>
      <c r="C4" s="64">
        <v>3</v>
      </c>
      <c r="D4" s="65">
        <v>4</v>
      </c>
      <c r="E4" s="65">
        <v>5</v>
      </c>
      <c r="F4" s="64">
        <v>6</v>
      </c>
      <c r="G4" s="64">
        <v>7</v>
      </c>
      <c r="H4" s="64">
        <v>8</v>
      </c>
      <c r="I4" s="64">
        <v>9</v>
      </c>
      <c r="J4" s="64">
        <v>10</v>
      </c>
      <c r="K4" s="64">
        <v>11</v>
      </c>
    </row>
    <row r="5" spans="1:11" ht="157.5">
      <c r="A5" s="138">
        <v>1</v>
      </c>
      <c r="B5" s="141" t="s">
        <v>130</v>
      </c>
      <c r="C5" s="67" t="s">
        <v>132</v>
      </c>
      <c r="D5" s="67"/>
      <c r="E5" s="66"/>
      <c r="F5" s="71">
        <f>SUM(G5:K5)</f>
        <v>0</v>
      </c>
      <c r="G5" s="71"/>
      <c r="H5" s="71"/>
      <c r="I5" s="71"/>
      <c r="J5" s="71"/>
      <c r="K5" s="71"/>
    </row>
    <row r="6" spans="1:11" ht="126" customHeight="1">
      <c r="A6" s="139"/>
      <c r="B6" s="142"/>
      <c r="C6" s="67" t="s">
        <v>133</v>
      </c>
      <c r="D6" s="67"/>
      <c r="E6" s="66"/>
      <c r="F6" s="71">
        <f t="shared" ref="F6:F10" si="0">SUM(G6:K6)</f>
        <v>0</v>
      </c>
      <c r="G6" s="71"/>
      <c r="H6" s="71"/>
      <c r="I6" s="71"/>
      <c r="J6" s="71"/>
      <c r="K6" s="71"/>
    </row>
    <row r="7" spans="1:11" ht="126" customHeight="1">
      <c r="A7" s="140"/>
      <c r="B7" s="143"/>
      <c r="C7" s="67" t="s">
        <v>134</v>
      </c>
      <c r="D7" s="67"/>
      <c r="E7" s="66"/>
      <c r="F7" s="71">
        <f t="shared" si="0"/>
        <v>0</v>
      </c>
      <c r="G7" s="71"/>
      <c r="H7" s="71"/>
      <c r="I7" s="71"/>
      <c r="J7" s="71"/>
      <c r="K7" s="71"/>
    </row>
    <row r="8" spans="1:11" ht="157.5">
      <c r="A8" s="144">
        <v>2</v>
      </c>
      <c r="B8" s="145" t="s">
        <v>135</v>
      </c>
      <c r="C8" s="67" t="s">
        <v>136</v>
      </c>
      <c r="D8" s="67"/>
      <c r="E8" s="66"/>
      <c r="F8" s="71">
        <f t="shared" si="0"/>
        <v>0</v>
      </c>
      <c r="G8" s="71"/>
      <c r="H8" s="71"/>
      <c r="I8" s="71"/>
      <c r="J8" s="71"/>
      <c r="K8" s="71"/>
    </row>
    <row r="9" spans="1:11" ht="157.5">
      <c r="A9" s="144"/>
      <c r="B9" s="145"/>
      <c r="C9" s="67" t="s">
        <v>137</v>
      </c>
      <c r="D9" s="67"/>
      <c r="E9" s="66"/>
      <c r="F9" s="71">
        <f t="shared" si="0"/>
        <v>0</v>
      </c>
      <c r="G9" s="71"/>
      <c r="H9" s="71"/>
      <c r="I9" s="71"/>
      <c r="J9" s="71"/>
      <c r="K9" s="71"/>
    </row>
    <row r="10" spans="1:11" ht="110.25">
      <c r="A10" s="144"/>
      <c r="B10" s="145"/>
      <c r="C10" s="67" t="s">
        <v>138</v>
      </c>
      <c r="D10" s="67"/>
      <c r="E10" s="66"/>
      <c r="F10" s="71">
        <f t="shared" si="0"/>
        <v>0</v>
      </c>
      <c r="G10" s="71"/>
      <c r="H10" s="71"/>
      <c r="I10" s="71"/>
      <c r="J10" s="71"/>
      <c r="K10" s="71"/>
    </row>
    <row r="11" spans="1:11" ht="15.75">
      <c r="A11" s="70" t="s">
        <v>128</v>
      </c>
      <c r="B11" s="70"/>
      <c r="C11" s="70"/>
      <c r="D11" s="70"/>
      <c r="E11" s="70"/>
      <c r="F11" s="71">
        <f>SUM(F5:F10)</f>
        <v>0</v>
      </c>
      <c r="G11" s="71">
        <f t="shared" ref="G11:K11" si="1">SUM(G5:G10)</f>
        <v>0</v>
      </c>
      <c r="H11" s="71">
        <f t="shared" si="1"/>
        <v>0</v>
      </c>
      <c r="I11" s="71">
        <f t="shared" si="1"/>
        <v>0</v>
      </c>
      <c r="J11" s="71">
        <f t="shared" si="1"/>
        <v>0</v>
      </c>
      <c r="K11" s="71">
        <f t="shared" si="1"/>
        <v>0</v>
      </c>
    </row>
  </sheetData>
  <mergeCells count="12">
    <mergeCell ref="A5:A7"/>
    <mergeCell ref="B5:B7"/>
    <mergeCell ref="A8:A10"/>
    <mergeCell ref="B8:B10"/>
    <mergeCell ref="A1:A3"/>
    <mergeCell ref="B1:B3"/>
    <mergeCell ref="C1:C3"/>
    <mergeCell ref="D1:D3"/>
    <mergeCell ref="E1:E3"/>
    <mergeCell ref="F1:K1"/>
    <mergeCell ref="F2:F3"/>
    <mergeCell ref="G2:K2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topLeftCell="C1" zoomScaleNormal="100" workbookViewId="0">
      <selection activeCell="I9" sqref="I9"/>
    </sheetView>
  </sheetViews>
  <sheetFormatPr defaultRowHeight="15"/>
  <cols>
    <col min="2" max="4" width="30.7109375" customWidth="1"/>
    <col min="5" max="5" width="15.7109375" customWidth="1"/>
    <col min="6" max="11" width="10.7109375" customWidth="1"/>
    <col min="12" max="12" width="30.7109375" customWidth="1"/>
  </cols>
  <sheetData>
    <row r="1" spans="1:12" ht="18.75">
      <c r="A1" s="147" t="s">
        <v>140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</row>
    <row r="2" spans="1:12" ht="18.75">
      <c r="A2" s="147" t="s">
        <v>141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</row>
    <row r="4" spans="1:12">
      <c r="A4" s="146" t="s">
        <v>0</v>
      </c>
      <c r="B4" s="146" t="s">
        <v>101</v>
      </c>
      <c r="C4" s="134" t="s">
        <v>102</v>
      </c>
      <c r="D4" s="137" t="s">
        <v>103</v>
      </c>
      <c r="E4" s="137" t="s">
        <v>104</v>
      </c>
      <c r="F4" s="137" t="s">
        <v>105</v>
      </c>
      <c r="G4" s="137"/>
      <c r="H4" s="137"/>
      <c r="I4" s="137"/>
      <c r="J4" s="137"/>
      <c r="K4" s="137"/>
      <c r="L4" s="137" t="s">
        <v>106</v>
      </c>
    </row>
    <row r="5" spans="1:12">
      <c r="A5" s="146"/>
      <c r="B5" s="146"/>
      <c r="C5" s="135"/>
      <c r="D5" s="137"/>
      <c r="E5" s="137"/>
      <c r="F5" s="137" t="s">
        <v>107</v>
      </c>
      <c r="G5" s="137" t="s">
        <v>108</v>
      </c>
      <c r="H5" s="137"/>
      <c r="I5" s="137"/>
      <c r="J5" s="137"/>
      <c r="K5" s="137"/>
      <c r="L5" s="137"/>
    </row>
    <row r="6" spans="1:12" ht="51">
      <c r="A6" s="146"/>
      <c r="B6" s="146"/>
      <c r="C6" s="136"/>
      <c r="D6" s="137"/>
      <c r="E6" s="137"/>
      <c r="F6" s="137"/>
      <c r="G6" s="63" t="s">
        <v>109</v>
      </c>
      <c r="H6" s="63" t="s">
        <v>110</v>
      </c>
      <c r="I6" s="63" t="s">
        <v>126</v>
      </c>
      <c r="J6" s="63" t="s">
        <v>127</v>
      </c>
      <c r="K6" s="63" t="s">
        <v>111</v>
      </c>
      <c r="L6" s="137"/>
    </row>
    <row r="7" spans="1:12">
      <c r="A7" s="64">
        <v>1</v>
      </c>
      <c r="B7" s="64">
        <v>2</v>
      </c>
      <c r="C7" s="64">
        <v>3</v>
      </c>
      <c r="D7" s="65">
        <v>4</v>
      </c>
      <c r="E7" s="65">
        <v>5</v>
      </c>
      <c r="F7" s="64">
        <v>6</v>
      </c>
      <c r="G7" s="64">
        <v>7</v>
      </c>
      <c r="H7" s="64">
        <v>8</v>
      </c>
      <c r="I7" s="64">
        <v>9</v>
      </c>
      <c r="J7" s="64">
        <v>10</v>
      </c>
      <c r="K7" s="64">
        <v>11</v>
      </c>
      <c r="L7" s="64">
        <v>12</v>
      </c>
    </row>
    <row r="8" spans="1:12" ht="110.25">
      <c r="A8" s="66">
        <v>1</v>
      </c>
      <c r="B8" s="67" t="s">
        <v>112</v>
      </c>
      <c r="C8" s="67" t="s">
        <v>113</v>
      </c>
      <c r="D8" s="68" t="s">
        <v>114</v>
      </c>
      <c r="E8" s="69"/>
      <c r="F8" s="71">
        <f t="shared" ref="F8:F13" si="0">SUM(G8:K8)</f>
        <v>65.799999999999983</v>
      </c>
      <c r="G8" s="71">
        <v>43.8</v>
      </c>
      <c r="H8" s="71">
        <v>2.2999999999999998</v>
      </c>
      <c r="I8" s="71">
        <v>3.3</v>
      </c>
      <c r="J8" s="71"/>
      <c r="K8" s="71">
        <v>16.399999999999999</v>
      </c>
      <c r="L8" s="67" t="s">
        <v>115</v>
      </c>
    </row>
    <row r="9" spans="1:12" ht="110.25">
      <c r="A9" s="66">
        <v>2</v>
      </c>
      <c r="B9" s="67" t="s">
        <v>116</v>
      </c>
      <c r="C9" s="67" t="s">
        <v>113</v>
      </c>
      <c r="D9" s="68" t="s">
        <v>114</v>
      </c>
      <c r="E9" s="69"/>
      <c r="F9" s="71">
        <f t="shared" si="0"/>
        <v>65.799999999999983</v>
      </c>
      <c r="G9" s="71">
        <v>43.8</v>
      </c>
      <c r="H9" s="71">
        <v>2.2999999999999998</v>
      </c>
      <c r="I9" s="71">
        <v>3.3</v>
      </c>
      <c r="J9" s="71"/>
      <c r="K9" s="71">
        <v>16.399999999999999</v>
      </c>
      <c r="L9" s="67" t="s">
        <v>117</v>
      </c>
    </row>
    <row r="10" spans="1:12" ht="94.5">
      <c r="A10" s="82">
        <v>3</v>
      </c>
      <c r="B10" s="67" t="s">
        <v>118</v>
      </c>
      <c r="C10" s="67" t="s">
        <v>113</v>
      </c>
      <c r="D10" s="68" t="s">
        <v>114</v>
      </c>
      <c r="E10" s="69"/>
      <c r="F10" s="71">
        <f t="shared" si="0"/>
        <v>394.9</v>
      </c>
      <c r="G10" s="71">
        <v>262.39999999999998</v>
      </c>
      <c r="H10" s="71">
        <v>13.8</v>
      </c>
      <c r="I10" s="71">
        <v>19.8</v>
      </c>
      <c r="J10" s="71"/>
      <c r="K10" s="71">
        <v>98.9</v>
      </c>
      <c r="L10" s="67" t="s">
        <v>119</v>
      </c>
    </row>
    <row r="11" spans="1:12" ht="110.25">
      <c r="A11" s="82">
        <v>4</v>
      </c>
      <c r="B11" s="67" t="s">
        <v>120</v>
      </c>
      <c r="C11" s="67" t="s">
        <v>113</v>
      </c>
      <c r="D11" s="68" t="s">
        <v>114</v>
      </c>
      <c r="E11" s="69"/>
      <c r="F11" s="71">
        <f t="shared" si="0"/>
        <v>65.799999999999983</v>
      </c>
      <c r="G11" s="71">
        <v>43.8</v>
      </c>
      <c r="H11" s="71">
        <v>2.2999999999999998</v>
      </c>
      <c r="I11" s="71">
        <v>3.3</v>
      </c>
      <c r="J11" s="71"/>
      <c r="K11" s="71">
        <v>16.399999999999999</v>
      </c>
      <c r="L11" s="67" t="s">
        <v>121</v>
      </c>
    </row>
    <row r="12" spans="1:12" ht="110.25">
      <c r="A12" s="82">
        <v>5</v>
      </c>
      <c r="B12" s="67" t="s">
        <v>122</v>
      </c>
      <c r="C12" s="67" t="s">
        <v>113</v>
      </c>
      <c r="D12" s="68" t="s">
        <v>114</v>
      </c>
      <c r="E12" s="69"/>
      <c r="F12" s="71">
        <f t="shared" si="0"/>
        <v>65.799999999999983</v>
      </c>
      <c r="G12" s="71">
        <v>43.8</v>
      </c>
      <c r="H12" s="71">
        <v>2.2999999999999998</v>
      </c>
      <c r="I12" s="71">
        <v>3.3</v>
      </c>
      <c r="J12" s="71"/>
      <c r="K12" s="71">
        <v>16.399999999999999</v>
      </c>
      <c r="L12" s="67" t="s">
        <v>123</v>
      </c>
    </row>
    <row r="13" spans="1:12" ht="110.25">
      <c r="A13" s="82">
        <v>6</v>
      </c>
      <c r="B13" s="67" t="s">
        <v>124</v>
      </c>
      <c r="C13" s="67" t="s">
        <v>113</v>
      </c>
      <c r="D13" s="68" t="s">
        <v>114</v>
      </c>
      <c r="E13" s="69"/>
      <c r="F13" s="71">
        <f t="shared" si="0"/>
        <v>65.799999999999983</v>
      </c>
      <c r="G13" s="71">
        <v>43.8</v>
      </c>
      <c r="H13" s="71">
        <v>2.2999999999999998</v>
      </c>
      <c r="I13" s="71">
        <v>3.3</v>
      </c>
      <c r="J13" s="71"/>
      <c r="K13" s="71">
        <v>16.399999999999999</v>
      </c>
      <c r="L13" s="67" t="s">
        <v>125</v>
      </c>
    </row>
    <row r="14" spans="1:12" ht="15.75">
      <c r="A14" s="148" t="s">
        <v>139</v>
      </c>
      <c r="B14" s="149"/>
      <c r="C14" s="149"/>
      <c r="D14" s="149"/>
      <c r="E14" s="150"/>
      <c r="F14" s="83">
        <f t="shared" ref="F14:K14" si="1">SUM(F8:F13)</f>
        <v>723.89999999999986</v>
      </c>
      <c r="G14" s="83">
        <f t="shared" si="1"/>
        <v>481.40000000000003</v>
      </c>
      <c r="H14" s="83">
        <f t="shared" si="1"/>
        <v>25.3</v>
      </c>
      <c r="I14" s="83">
        <f t="shared" si="1"/>
        <v>36.299999999999997</v>
      </c>
      <c r="J14" s="83">
        <f t="shared" si="1"/>
        <v>0</v>
      </c>
      <c r="K14" s="83">
        <f t="shared" si="1"/>
        <v>180.9</v>
      </c>
      <c r="L14" s="70"/>
    </row>
  </sheetData>
  <mergeCells count="12">
    <mergeCell ref="A1:L1"/>
    <mergeCell ref="A2:L2"/>
    <mergeCell ref="L4:L6"/>
    <mergeCell ref="F5:F6"/>
    <mergeCell ref="A14:E14"/>
    <mergeCell ref="G5:K5"/>
    <mergeCell ref="A4:A6"/>
    <mergeCell ref="B4:B6"/>
    <mergeCell ref="C4:C6"/>
    <mergeCell ref="D4:D6"/>
    <mergeCell ref="E4:E6"/>
    <mergeCell ref="F4:K4"/>
  </mergeCells>
  <pageMargins left="0.70866141732283472" right="0.70866141732283472" top="0.74803149606299213" bottom="0.74803149606299213" header="0.31496062992125984" footer="0.31496062992125984"/>
  <pageSetup paperSize="9" scale="58" fitToHeight="8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"/>
  <sheetViews>
    <sheetView view="pageBreakPreview" topLeftCell="A10" zoomScale="60" zoomScaleNormal="85" workbookViewId="0">
      <selection activeCell="I9" sqref="I9"/>
    </sheetView>
  </sheetViews>
  <sheetFormatPr defaultRowHeight="15"/>
  <cols>
    <col min="2" max="4" width="20.7109375" customWidth="1"/>
    <col min="6" max="11" width="10.7109375" customWidth="1"/>
    <col min="12" max="12" width="20.7109375" customWidth="1"/>
  </cols>
  <sheetData>
    <row r="1" spans="1:16">
      <c r="A1" s="146" t="s">
        <v>0</v>
      </c>
      <c r="B1" s="146" t="s">
        <v>101</v>
      </c>
      <c r="C1" s="134" t="s">
        <v>102</v>
      </c>
      <c r="D1" s="137" t="s">
        <v>103</v>
      </c>
      <c r="E1" s="137" t="s">
        <v>104</v>
      </c>
      <c r="F1" s="137" t="s">
        <v>105</v>
      </c>
      <c r="G1" s="137"/>
      <c r="H1" s="137"/>
      <c r="I1" s="137"/>
      <c r="J1" s="137"/>
      <c r="K1" s="137"/>
      <c r="L1" s="137" t="s">
        <v>163</v>
      </c>
      <c r="N1" s="152" t="s">
        <v>154</v>
      </c>
      <c r="O1" s="152" t="s">
        <v>155</v>
      </c>
      <c r="P1" s="151">
        <v>0.3</v>
      </c>
    </row>
    <row r="2" spans="1:16" ht="15" customHeight="1">
      <c r="A2" s="146"/>
      <c r="B2" s="146"/>
      <c r="C2" s="135"/>
      <c r="D2" s="137"/>
      <c r="E2" s="137"/>
      <c r="F2" s="137" t="s">
        <v>107</v>
      </c>
      <c r="G2" s="137" t="s">
        <v>108</v>
      </c>
      <c r="H2" s="137"/>
      <c r="I2" s="137"/>
      <c r="J2" s="137"/>
      <c r="K2" s="137"/>
      <c r="L2" s="137"/>
      <c r="N2" s="152"/>
      <c r="O2" s="152"/>
      <c r="P2" s="152"/>
    </row>
    <row r="3" spans="1:16" ht="76.5" customHeight="1">
      <c r="A3" s="146"/>
      <c r="B3" s="146"/>
      <c r="C3" s="136"/>
      <c r="D3" s="137"/>
      <c r="E3" s="137"/>
      <c r="F3" s="137"/>
      <c r="G3" s="63" t="s">
        <v>109</v>
      </c>
      <c r="H3" s="63" t="s">
        <v>110</v>
      </c>
      <c r="I3" s="63" t="s">
        <v>126</v>
      </c>
      <c r="J3" s="63" t="s">
        <v>127</v>
      </c>
      <c r="K3" s="63" t="s">
        <v>111</v>
      </c>
      <c r="L3" s="137"/>
      <c r="N3" s="152"/>
      <c r="O3" s="152"/>
      <c r="P3" s="152"/>
    </row>
    <row r="4" spans="1:16">
      <c r="A4" s="64">
        <v>1</v>
      </c>
      <c r="B4" s="64">
        <v>2</v>
      </c>
      <c r="C4" s="64">
        <v>3</v>
      </c>
      <c r="D4" s="65">
        <v>4</v>
      </c>
      <c r="E4" s="65">
        <v>5</v>
      </c>
      <c r="F4" s="64">
        <v>6</v>
      </c>
      <c r="G4" s="64">
        <v>7</v>
      </c>
      <c r="H4" s="64">
        <v>8</v>
      </c>
      <c r="I4" s="64">
        <v>9</v>
      </c>
      <c r="J4" s="64">
        <v>10</v>
      </c>
      <c r="K4" s="64">
        <v>11</v>
      </c>
      <c r="L4" s="64">
        <v>12</v>
      </c>
      <c r="N4" s="70"/>
      <c r="O4" s="70"/>
      <c r="P4" s="70"/>
    </row>
    <row r="5" spans="1:16" s="87" customFormat="1" ht="173.25">
      <c r="A5" s="84">
        <v>1</v>
      </c>
      <c r="B5" s="85" t="s">
        <v>156</v>
      </c>
      <c r="C5" s="85" t="s">
        <v>113</v>
      </c>
      <c r="D5" s="85" t="s">
        <v>164</v>
      </c>
      <c r="E5" s="84">
        <v>177</v>
      </c>
      <c r="F5" s="86">
        <f>ROUND(N5*74.323+O5*50.57,1)</f>
        <v>50.6</v>
      </c>
      <c r="G5" s="86">
        <f t="shared" ref="G5:G11" si="0">ROUND(F5*0.7*0.99,1)</f>
        <v>35.1</v>
      </c>
      <c r="H5" s="86">
        <f>ROUND(F5*0.7*0.01,1)</f>
        <v>0.4</v>
      </c>
      <c r="I5" s="86">
        <f>ROUND(F5*0.05,1)</f>
        <v>2.5</v>
      </c>
      <c r="J5" s="86"/>
      <c r="K5" s="86">
        <f>F5-G5-H5-I5</f>
        <v>12.6</v>
      </c>
      <c r="L5" s="86">
        <v>468.5</v>
      </c>
      <c r="N5" s="92"/>
      <c r="O5" s="92">
        <v>1</v>
      </c>
      <c r="P5" s="93">
        <f>F5-G5-H5</f>
        <v>15.1</v>
      </c>
    </row>
    <row r="6" spans="1:16" s="91" customFormat="1" ht="220.5">
      <c r="A6" s="88">
        <v>2</v>
      </c>
      <c r="B6" s="89" t="s">
        <v>157</v>
      </c>
      <c r="C6" s="89" t="s">
        <v>113</v>
      </c>
      <c r="D6" s="89" t="s">
        <v>165</v>
      </c>
      <c r="E6" s="88">
        <v>121</v>
      </c>
      <c r="F6" s="86">
        <f t="shared" ref="F6:F11" si="1">ROUND(N6*74.323+O6*50.57,1)</f>
        <v>202.3</v>
      </c>
      <c r="G6" s="86">
        <f t="shared" si="0"/>
        <v>140.19999999999999</v>
      </c>
      <c r="H6" s="86">
        <f>ROUND(F6*0.7*0.01,1)-0.1</f>
        <v>1.2999999999999998</v>
      </c>
      <c r="I6" s="90">
        <f t="shared" ref="I6:I11" si="2">ROUND(F6*0.05,1)</f>
        <v>10.1</v>
      </c>
      <c r="J6" s="90"/>
      <c r="K6" s="90">
        <f t="shared" ref="K6:K11" si="3">F6-G6-H6-I6</f>
        <v>50.700000000000024</v>
      </c>
      <c r="L6" s="90">
        <v>848.8</v>
      </c>
      <c r="N6" s="92"/>
      <c r="O6" s="92">
        <v>4</v>
      </c>
      <c r="P6" s="93">
        <f t="shared" ref="P6:P11" si="4">F6-G6-H6</f>
        <v>60.800000000000026</v>
      </c>
    </row>
    <row r="7" spans="1:16" s="87" customFormat="1" ht="189">
      <c r="A7" s="84">
        <v>3</v>
      </c>
      <c r="B7" s="85" t="s">
        <v>158</v>
      </c>
      <c r="C7" s="85" t="s">
        <v>113</v>
      </c>
      <c r="D7" s="85" t="s">
        <v>166</v>
      </c>
      <c r="E7" s="84">
        <v>328</v>
      </c>
      <c r="F7" s="86">
        <f t="shared" si="1"/>
        <v>354</v>
      </c>
      <c r="G7" s="86">
        <f t="shared" si="0"/>
        <v>245.3</v>
      </c>
      <c r="H7" s="86">
        <f>ROUND(F7*0.7*0.01,1)</f>
        <v>2.5</v>
      </c>
      <c r="I7" s="86">
        <f t="shared" si="2"/>
        <v>17.7</v>
      </c>
      <c r="J7" s="86"/>
      <c r="K7" s="86">
        <f t="shared" si="3"/>
        <v>88.499999999999986</v>
      </c>
      <c r="L7" s="86">
        <v>224.2</v>
      </c>
      <c r="N7" s="92"/>
      <c r="O7" s="92">
        <v>7</v>
      </c>
      <c r="P7" s="93">
        <f t="shared" si="4"/>
        <v>106.19999999999999</v>
      </c>
    </row>
    <row r="8" spans="1:16" s="87" customFormat="1" ht="252">
      <c r="A8" s="84">
        <v>4</v>
      </c>
      <c r="B8" s="85" t="s">
        <v>159</v>
      </c>
      <c r="C8" s="85" t="s">
        <v>113</v>
      </c>
      <c r="D8" s="85" t="s">
        <v>167</v>
      </c>
      <c r="E8" s="84">
        <v>1121</v>
      </c>
      <c r="F8" s="86">
        <f t="shared" si="1"/>
        <v>910.3</v>
      </c>
      <c r="G8" s="86">
        <f t="shared" si="0"/>
        <v>630.79999999999995</v>
      </c>
      <c r="H8" s="86">
        <f>ROUND(F8*0.7*0.01,1)</f>
        <v>6.4</v>
      </c>
      <c r="I8" s="86">
        <f t="shared" si="2"/>
        <v>45.5</v>
      </c>
      <c r="J8" s="86"/>
      <c r="K8" s="86">
        <f t="shared" si="3"/>
        <v>227.60000000000002</v>
      </c>
      <c r="L8" s="86">
        <v>839.3</v>
      </c>
      <c r="N8" s="92"/>
      <c r="O8" s="92">
        <v>18</v>
      </c>
      <c r="P8" s="93">
        <f t="shared" si="4"/>
        <v>273.10000000000002</v>
      </c>
    </row>
    <row r="9" spans="1:16" s="87" customFormat="1" ht="204.75">
      <c r="A9" s="84">
        <v>5</v>
      </c>
      <c r="B9" s="85" t="s">
        <v>162</v>
      </c>
      <c r="C9" s="85" t="s">
        <v>113</v>
      </c>
      <c r="D9" s="85" t="s">
        <v>168</v>
      </c>
      <c r="E9" s="84">
        <v>845</v>
      </c>
      <c r="F9" s="86">
        <f t="shared" si="1"/>
        <v>303.39999999999998</v>
      </c>
      <c r="G9" s="86">
        <f t="shared" si="0"/>
        <v>210.3</v>
      </c>
      <c r="H9" s="86">
        <f>ROUND(F9*0.7*0.01,1)-0.1</f>
        <v>2</v>
      </c>
      <c r="I9" s="86">
        <f t="shared" si="2"/>
        <v>15.2</v>
      </c>
      <c r="J9" s="86"/>
      <c r="K9" s="86">
        <f t="shared" si="3"/>
        <v>75.899999999999963</v>
      </c>
      <c r="L9" s="86">
        <v>3600</v>
      </c>
      <c r="N9" s="92"/>
      <c r="O9" s="92">
        <v>6</v>
      </c>
      <c r="P9" s="93">
        <f t="shared" si="4"/>
        <v>91.099999999999966</v>
      </c>
    </row>
    <row r="10" spans="1:16" s="87" customFormat="1" ht="204.75">
      <c r="A10" s="84">
        <v>6</v>
      </c>
      <c r="B10" s="85" t="s">
        <v>160</v>
      </c>
      <c r="C10" s="85" t="s">
        <v>113</v>
      </c>
      <c r="D10" s="85" t="s">
        <v>169</v>
      </c>
      <c r="E10" s="84">
        <v>786</v>
      </c>
      <c r="F10" s="86">
        <f t="shared" si="1"/>
        <v>668.9</v>
      </c>
      <c r="G10" s="86">
        <f t="shared" si="0"/>
        <v>463.5</v>
      </c>
      <c r="H10" s="86">
        <f>ROUND(F10*0.7*0.01,1)</f>
        <v>4.7</v>
      </c>
      <c r="I10" s="86">
        <f t="shared" si="2"/>
        <v>33.4</v>
      </c>
      <c r="J10" s="86"/>
      <c r="K10" s="86">
        <f t="shared" si="3"/>
        <v>167.29999999999998</v>
      </c>
      <c r="L10" s="86">
        <v>215.7</v>
      </c>
      <c r="N10" s="92">
        <v>9</v>
      </c>
      <c r="O10" s="92"/>
      <c r="P10" s="93">
        <f t="shared" si="4"/>
        <v>200.7</v>
      </c>
    </row>
    <row r="11" spans="1:16" s="87" customFormat="1" ht="204.75">
      <c r="A11" s="84">
        <v>7</v>
      </c>
      <c r="B11" s="85" t="s">
        <v>161</v>
      </c>
      <c r="C11" s="85" t="s">
        <v>113</v>
      </c>
      <c r="D11" s="85" t="s">
        <v>170</v>
      </c>
      <c r="E11" s="84">
        <v>751</v>
      </c>
      <c r="F11" s="86">
        <f t="shared" si="1"/>
        <v>303.39999999999998</v>
      </c>
      <c r="G11" s="86">
        <f t="shared" si="0"/>
        <v>210.3</v>
      </c>
      <c r="H11" s="86">
        <f>ROUND(F11*0.7*0.01,1)</f>
        <v>2.1</v>
      </c>
      <c r="I11" s="86">
        <f t="shared" si="2"/>
        <v>15.2</v>
      </c>
      <c r="J11" s="86"/>
      <c r="K11" s="86">
        <f t="shared" si="3"/>
        <v>75.799999999999969</v>
      </c>
      <c r="L11" s="86">
        <v>0</v>
      </c>
      <c r="N11" s="92"/>
      <c r="O11" s="92">
        <v>6</v>
      </c>
      <c r="P11" s="93">
        <f t="shared" si="4"/>
        <v>90.999999999999972</v>
      </c>
    </row>
    <row r="12" spans="1:16" ht="15.75">
      <c r="A12" s="66" t="s">
        <v>128</v>
      </c>
      <c r="B12" s="70"/>
      <c r="C12" s="70"/>
      <c r="D12" s="70"/>
      <c r="E12" s="70"/>
      <c r="F12" s="83">
        <f t="shared" ref="F12:L12" si="5">SUM(F5:F11)</f>
        <v>2792.9</v>
      </c>
      <c r="G12" s="83">
        <f t="shared" si="5"/>
        <v>1935.5</v>
      </c>
      <c r="H12" s="83">
        <f t="shared" si="5"/>
        <v>19.400000000000002</v>
      </c>
      <c r="I12" s="83">
        <f t="shared" si="5"/>
        <v>139.6</v>
      </c>
      <c r="J12" s="83">
        <f t="shared" si="5"/>
        <v>0</v>
      </c>
      <c r="K12" s="83">
        <f t="shared" si="5"/>
        <v>698.4</v>
      </c>
      <c r="L12" s="83">
        <f t="shared" si="5"/>
        <v>6196.5</v>
      </c>
      <c r="N12" s="70">
        <f>SUM(N5:N11)</f>
        <v>9</v>
      </c>
      <c r="O12" s="94">
        <f>SUM(O5:O11)</f>
        <v>42</v>
      </c>
      <c r="P12" s="95">
        <f t="shared" ref="P12" si="6">SUM(P5:P11)</f>
        <v>838</v>
      </c>
    </row>
  </sheetData>
  <sortState ref="B5:K11">
    <sortCondition ref="B5:B11"/>
  </sortState>
  <mergeCells count="12">
    <mergeCell ref="P1:P3"/>
    <mergeCell ref="N1:N3"/>
    <mergeCell ref="O1:O3"/>
    <mergeCell ref="L1:L3"/>
    <mergeCell ref="F2:F3"/>
    <mergeCell ref="G2:K2"/>
    <mergeCell ref="F1:K1"/>
    <mergeCell ref="A1:A3"/>
    <mergeCell ref="B1:B3"/>
    <mergeCell ref="C1:C3"/>
    <mergeCell ref="D1:D3"/>
    <mergeCell ref="E1:E3"/>
  </mergeCells>
  <pageMargins left="0.70866141732283472" right="0.70866141732283472" top="0.74803149606299213" bottom="0.74803149606299213" header="0.31496062992125984" footer="0.31496062992125984"/>
  <pageSetup paperSize="9" scale="43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1"/>
  <sheetViews>
    <sheetView workbookViewId="0">
      <selection activeCell="B11" sqref="B11:B13"/>
    </sheetView>
  </sheetViews>
  <sheetFormatPr defaultRowHeight="15"/>
  <cols>
    <col min="1" max="1" width="5.140625" style="20" bestFit="1" customWidth="1"/>
    <col min="2" max="2" width="60.7109375" style="20" customWidth="1"/>
    <col min="3" max="3" width="17.7109375" style="5" customWidth="1"/>
    <col min="4" max="4" width="12.7109375" style="5" customWidth="1"/>
    <col min="5" max="9" width="10.7109375" style="5" customWidth="1"/>
    <col min="10" max="16384" width="9.140625" style="5"/>
  </cols>
  <sheetData>
    <row r="1" spans="1:9" ht="39.950000000000003" customHeight="1">
      <c r="A1" s="106" t="s">
        <v>91</v>
      </c>
      <c r="B1" s="106"/>
      <c r="C1" s="106"/>
      <c r="D1" s="106"/>
      <c r="E1" s="106"/>
      <c r="F1" s="106"/>
      <c r="G1" s="106"/>
      <c r="H1" s="106"/>
      <c r="I1" s="106"/>
    </row>
    <row r="2" spans="1:9" ht="18.75">
      <c r="A2" s="19"/>
      <c r="B2" s="19"/>
      <c r="C2" s="19"/>
      <c r="D2" s="19"/>
      <c r="E2" s="19"/>
      <c r="F2" s="19"/>
      <c r="G2" s="19"/>
      <c r="H2" s="19"/>
      <c r="I2" s="19"/>
    </row>
    <row r="3" spans="1:9" ht="15.75">
      <c r="I3" s="24" t="s">
        <v>25</v>
      </c>
    </row>
    <row r="4" spans="1:9" ht="15.75">
      <c r="A4" s="113" t="s">
        <v>0</v>
      </c>
      <c r="B4" s="113" t="s">
        <v>17</v>
      </c>
      <c r="C4" s="110" t="s">
        <v>2</v>
      </c>
      <c r="D4" s="101" t="s">
        <v>18</v>
      </c>
      <c r="E4" s="101" t="s">
        <v>85</v>
      </c>
      <c r="F4" s="101"/>
      <c r="G4" s="101"/>
      <c r="H4" s="101"/>
      <c r="I4" s="101"/>
    </row>
    <row r="5" spans="1:9" ht="15.75">
      <c r="A5" s="113"/>
      <c r="B5" s="113"/>
      <c r="C5" s="111"/>
      <c r="D5" s="101"/>
      <c r="E5" s="21" t="s">
        <v>19</v>
      </c>
      <c r="F5" s="21" t="s">
        <v>4</v>
      </c>
      <c r="G5" s="21" t="s">
        <v>5</v>
      </c>
      <c r="H5" s="21" t="s">
        <v>6</v>
      </c>
      <c r="I5" s="21" t="s">
        <v>7</v>
      </c>
    </row>
    <row r="6" spans="1:9" ht="15.75">
      <c r="A6" s="22">
        <v>1</v>
      </c>
      <c r="B6" s="22">
        <v>2</v>
      </c>
      <c r="C6" s="21">
        <v>3</v>
      </c>
      <c r="D6" s="21">
        <v>4</v>
      </c>
      <c r="E6" s="50">
        <v>5</v>
      </c>
      <c r="F6" s="49">
        <v>6</v>
      </c>
      <c r="G6" s="49">
        <v>7</v>
      </c>
      <c r="H6" s="50">
        <v>8</v>
      </c>
      <c r="I6" s="49">
        <v>9</v>
      </c>
    </row>
    <row r="7" spans="1:9" ht="15.75">
      <c r="A7" s="112" t="s">
        <v>8</v>
      </c>
      <c r="B7" s="107" t="s">
        <v>94</v>
      </c>
      <c r="C7" s="21" t="s">
        <v>26</v>
      </c>
      <c r="D7" s="73">
        <f>SUM(E7:I7)</f>
        <v>25</v>
      </c>
      <c r="E7" s="73">
        <f>SUM(E26,E11,E14,E17,E20,E23,E29)</f>
        <v>0</v>
      </c>
      <c r="F7" s="78">
        <f t="shared" ref="F7:I7" si="0">SUM(F26,F11,F14,F17,F20,F23,F29)</f>
        <v>2</v>
      </c>
      <c r="G7" s="78">
        <f t="shared" si="0"/>
        <v>9</v>
      </c>
      <c r="H7" s="78">
        <f t="shared" si="0"/>
        <v>8</v>
      </c>
      <c r="I7" s="78">
        <f t="shared" si="0"/>
        <v>6</v>
      </c>
    </row>
    <row r="8" spans="1:9" ht="15.75">
      <c r="A8" s="112"/>
      <c r="B8" s="108"/>
      <c r="C8" s="21" t="s">
        <v>9</v>
      </c>
      <c r="D8" s="53">
        <f>SUM(E8:I8)</f>
        <v>1709</v>
      </c>
      <c r="E8" s="53">
        <f>SUM(E27,E12,E15,E18,E21,E24)</f>
        <v>0</v>
      </c>
      <c r="F8" s="53">
        <f t="shared" ref="F8:I8" si="1">SUM(F27,F12,F15,F18,F21,F24)</f>
        <v>288</v>
      </c>
      <c r="G8" s="53">
        <f t="shared" si="1"/>
        <v>520</v>
      </c>
      <c r="H8" s="53">
        <f t="shared" si="1"/>
        <v>541</v>
      </c>
      <c r="I8" s="53">
        <f t="shared" si="1"/>
        <v>360</v>
      </c>
    </row>
    <row r="9" spans="1:9" ht="15.75">
      <c r="A9" s="112"/>
      <c r="B9" s="109"/>
      <c r="C9" s="21" t="s">
        <v>27</v>
      </c>
      <c r="D9" s="42">
        <f>SUM(E9:I9)</f>
        <v>39783.699999999997</v>
      </c>
      <c r="E9" s="42">
        <f>SUM(E28,E13,E16,E19,E22,E25,E31)</f>
        <v>0</v>
      </c>
      <c r="F9" s="42">
        <f t="shared" ref="F9:I9" si="2">SUM(F28,F13,F16,F19,F22,F25,F31)</f>
        <v>5590.4</v>
      </c>
      <c r="G9" s="42">
        <f t="shared" si="2"/>
        <v>12512.7</v>
      </c>
      <c r="H9" s="42">
        <f t="shared" si="2"/>
        <v>13018</v>
      </c>
      <c r="I9" s="42">
        <f t="shared" si="2"/>
        <v>8662.6</v>
      </c>
    </row>
    <row r="10" spans="1:9" ht="15.75">
      <c r="A10" s="26"/>
      <c r="B10" s="27" t="s">
        <v>93</v>
      </c>
      <c r="C10" s="120"/>
      <c r="D10" s="121"/>
      <c r="E10" s="121"/>
      <c r="F10" s="121"/>
      <c r="G10" s="121"/>
      <c r="H10" s="121"/>
      <c r="I10" s="122"/>
    </row>
    <row r="11" spans="1:9" ht="15.75">
      <c r="A11" s="114" t="s">
        <v>41</v>
      </c>
      <c r="B11" s="117" t="s">
        <v>20</v>
      </c>
      <c r="C11" s="23" t="s">
        <v>26</v>
      </c>
      <c r="D11" s="51">
        <f t="shared" ref="D11:D13" si="3">SUM(E11:I11)</f>
        <v>1</v>
      </c>
      <c r="E11" s="23"/>
      <c r="F11" s="74"/>
      <c r="G11" s="74">
        <f>1</f>
        <v>1</v>
      </c>
      <c r="H11" s="23"/>
      <c r="I11" s="23"/>
    </row>
    <row r="12" spans="1:9" ht="15.75">
      <c r="A12" s="115"/>
      <c r="B12" s="118"/>
      <c r="C12" s="23" t="s">
        <v>9</v>
      </c>
      <c r="D12" s="51">
        <f t="shared" si="3"/>
        <v>72</v>
      </c>
      <c r="E12" s="23"/>
      <c r="F12" s="74"/>
      <c r="G12" s="74">
        <f>72</f>
        <v>72</v>
      </c>
      <c r="H12" s="23"/>
      <c r="I12" s="23"/>
    </row>
    <row r="13" spans="1:9" ht="15.75">
      <c r="A13" s="116"/>
      <c r="B13" s="119"/>
      <c r="C13" s="23" t="s">
        <v>28</v>
      </c>
      <c r="D13" s="25">
        <f t="shared" si="3"/>
        <v>1732.5</v>
      </c>
      <c r="E13" s="25"/>
      <c r="F13" s="25"/>
      <c r="G13" s="25">
        <f>ROUND(G12*24063/1000,1)</f>
        <v>1732.5</v>
      </c>
      <c r="H13" s="25"/>
      <c r="I13" s="25"/>
    </row>
    <row r="14" spans="1:9" ht="15.75">
      <c r="A14" s="114" t="s">
        <v>72</v>
      </c>
      <c r="B14" s="117" t="s">
        <v>21</v>
      </c>
      <c r="C14" s="23" t="s">
        <v>26</v>
      </c>
      <c r="D14" s="51">
        <f t="shared" ref="D14:D16" si="4">SUM(E14:I14)</f>
        <v>13</v>
      </c>
      <c r="E14" s="23"/>
      <c r="F14" s="74"/>
      <c r="G14" s="74">
        <v>4</v>
      </c>
      <c r="H14" s="74">
        <v>4</v>
      </c>
      <c r="I14" s="74">
        <v>5</v>
      </c>
    </row>
    <row r="15" spans="1:9" ht="15.75">
      <c r="A15" s="115"/>
      <c r="B15" s="118"/>
      <c r="C15" s="23" t="s">
        <v>9</v>
      </c>
      <c r="D15" s="51">
        <f t="shared" si="4"/>
        <v>720</v>
      </c>
      <c r="E15" s="23"/>
      <c r="F15" s="74"/>
      <c r="G15" s="74">
        <f>3*42+1*72</f>
        <v>198</v>
      </c>
      <c r="H15" s="74">
        <f>3*54+1*72</f>
        <v>234</v>
      </c>
      <c r="I15" s="74">
        <f>4*54+1*72</f>
        <v>288</v>
      </c>
    </row>
    <row r="16" spans="1:9" ht="15.75">
      <c r="A16" s="116"/>
      <c r="B16" s="119"/>
      <c r="C16" s="23" t="s">
        <v>28</v>
      </c>
      <c r="D16" s="25">
        <f t="shared" si="4"/>
        <v>17325.300000000003</v>
      </c>
      <c r="E16" s="25"/>
      <c r="F16" s="25"/>
      <c r="G16" s="25">
        <f>ROUND(G15*24063/1000,1)</f>
        <v>4764.5</v>
      </c>
      <c r="H16" s="25">
        <f>ROUND(H15*24063/1000,1)</f>
        <v>5630.7</v>
      </c>
      <c r="I16" s="25">
        <f>ROUND(I15*24063/1000,1)</f>
        <v>6930.1</v>
      </c>
    </row>
    <row r="17" spans="1:9" ht="15.75">
      <c r="A17" s="79" t="s">
        <v>73</v>
      </c>
      <c r="B17" s="117" t="s">
        <v>22</v>
      </c>
      <c r="C17" s="23" t="s">
        <v>26</v>
      </c>
      <c r="D17" s="23">
        <f t="shared" ref="D17:D22" si="5">SUM(E17:I17)</f>
        <v>8</v>
      </c>
      <c r="E17" s="23"/>
      <c r="F17" s="74"/>
      <c r="G17" s="74">
        <v>3</v>
      </c>
      <c r="H17" s="74">
        <v>4</v>
      </c>
      <c r="I17" s="74">
        <v>1</v>
      </c>
    </row>
    <row r="18" spans="1:9" ht="15.75">
      <c r="A18" s="80"/>
      <c r="B18" s="118"/>
      <c r="C18" s="23" t="s">
        <v>9</v>
      </c>
      <c r="D18" s="23">
        <f t="shared" si="5"/>
        <v>557</v>
      </c>
      <c r="E18" s="23"/>
      <c r="F18" s="74"/>
      <c r="G18" s="74">
        <v>178</v>
      </c>
      <c r="H18" s="74">
        <v>307</v>
      </c>
      <c r="I18" s="74">
        <v>72</v>
      </c>
    </row>
    <row r="19" spans="1:9" ht="15.75">
      <c r="A19" s="81"/>
      <c r="B19" s="119"/>
      <c r="C19" s="23" t="s">
        <v>28</v>
      </c>
      <c r="D19" s="25">
        <f t="shared" si="5"/>
        <v>13403</v>
      </c>
      <c r="E19" s="25"/>
      <c r="F19" s="25"/>
      <c r="G19" s="25">
        <f>ROUND(G18*24063/1000,1)</f>
        <v>4283.2</v>
      </c>
      <c r="H19" s="25">
        <f>ROUND(H18*24063/1000,1)</f>
        <v>7387.3</v>
      </c>
      <c r="I19" s="25">
        <f>ROUND(I18*24063/1000,1)</f>
        <v>1732.5</v>
      </c>
    </row>
    <row r="20" spans="1:9" ht="15.75">
      <c r="A20" s="79" t="s">
        <v>74</v>
      </c>
      <c r="B20" s="117" t="s">
        <v>23</v>
      </c>
      <c r="C20" s="23" t="s">
        <v>26</v>
      </c>
      <c r="D20" s="23">
        <f t="shared" si="5"/>
        <v>0</v>
      </c>
      <c r="E20" s="23"/>
      <c r="F20" s="74"/>
      <c r="G20" s="23"/>
      <c r="H20" s="23"/>
      <c r="I20" s="23"/>
    </row>
    <row r="21" spans="1:9" ht="15.75">
      <c r="A21" s="80"/>
      <c r="B21" s="118"/>
      <c r="C21" s="23" t="s">
        <v>9</v>
      </c>
      <c r="D21" s="23">
        <f t="shared" si="5"/>
        <v>0</v>
      </c>
      <c r="E21" s="23"/>
      <c r="F21" s="74"/>
      <c r="G21" s="23"/>
      <c r="H21" s="23"/>
      <c r="I21" s="23"/>
    </row>
    <row r="22" spans="1:9" ht="15.75">
      <c r="A22" s="81"/>
      <c r="B22" s="119"/>
      <c r="C22" s="23" t="s">
        <v>28</v>
      </c>
      <c r="D22" s="25">
        <f t="shared" si="5"/>
        <v>0</v>
      </c>
      <c r="E22" s="25"/>
      <c r="F22" s="25"/>
      <c r="G22" s="25"/>
      <c r="H22" s="25"/>
      <c r="I22" s="25"/>
    </row>
    <row r="23" spans="1:9" ht="15.75">
      <c r="A23" s="79" t="s">
        <v>75</v>
      </c>
      <c r="B23" s="117" t="s">
        <v>24</v>
      </c>
      <c r="C23" s="23" t="s">
        <v>26</v>
      </c>
      <c r="D23" s="23">
        <f t="shared" ref="D23:D24" si="6">SUM(E23:I23)</f>
        <v>3</v>
      </c>
      <c r="E23" s="74"/>
      <c r="F23" s="74">
        <f>1+1</f>
        <v>2</v>
      </c>
      <c r="G23" s="74">
        <f>1</f>
        <v>1</v>
      </c>
      <c r="H23" s="23"/>
      <c r="I23" s="23"/>
    </row>
    <row r="24" spans="1:9" ht="15.75">
      <c r="A24" s="80"/>
      <c r="B24" s="118"/>
      <c r="C24" s="23" t="s">
        <v>9</v>
      </c>
      <c r="D24" s="23">
        <f t="shared" si="6"/>
        <v>360</v>
      </c>
      <c r="E24" s="74"/>
      <c r="F24" s="74">
        <f>127+161</f>
        <v>288</v>
      </c>
      <c r="G24" s="74">
        <f>72</f>
        <v>72</v>
      </c>
      <c r="H24" s="23"/>
      <c r="I24" s="23"/>
    </row>
    <row r="25" spans="1:9" ht="15.75">
      <c r="A25" s="81"/>
      <c r="B25" s="119"/>
      <c r="C25" s="23" t="s">
        <v>28</v>
      </c>
      <c r="D25" s="25">
        <f>SUM(E25:I25)</f>
        <v>7322.9</v>
      </c>
      <c r="E25" s="25"/>
      <c r="F25" s="25">
        <f>2799.91+2790.49</f>
        <v>5590.4</v>
      </c>
      <c r="G25" s="25">
        <f>ROUND(G24*24063/1000,1)</f>
        <v>1732.5</v>
      </c>
      <c r="H25" s="25"/>
      <c r="I25" s="25"/>
    </row>
    <row r="26" spans="1:9" ht="15.75">
      <c r="A26" s="79" t="s">
        <v>76</v>
      </c>
      <c r="B26" s="117" t="s">
        <v>80</v>
      </c>
      <c r="C26" s="23" t="s">
        <v>26</v>
      </c>
      <c r="D26" s="51">
        <f>SUM(E26:I26)</f>
        <v>0</v>
      </c>
      <c r="E26" s="23"/>
      <c r="F26" s="23"/>
      <c r="G26" s="23"/>
      <c r="H26" s="23"/>
      <c r="I26" s="23"/>
    </row>
    <row r="27" spans="1:9" ht="15.75">
      <c r="A27" s="80"/>
      <c r="B27" s="118"/>
      <c r="C27" s="23" t="s">
        <v>9</v>
      </c>
      <c r="D27" s="51">
        <f>SUM(E27:I27)</f>
        <v>0</v>
      </c>
      <c r="E27" s="23"/>
      <c r="F27" s="23"/>
      <c r="G27" s="23"/>
      <c r="H27" s="23"/>
      <c r="I27" s="23"/>
    </row>
    <row r="28" spans="1:9" ht="15.75">
      <c r="A28" s="81"/>
      <c r="B28" s="119"/>
      <c r="C28" s="23" t="s">
        <v>28</v>
      </c>
      <c r="D28" s="25">
        <f>SUM(E28:I28)</f>
        <v>0</v>
      </c>
      <c r="E28" s="25"/>
      <c r="F28" s="25"/>
      <c r="G28" s="25"/>
      <c r="H28" s="25"/>
      <c r="I28" s="25"/>
    </row>
    <row r="29" spans="1:9" ht="15.75">
      <c r="A29" s="114" t="s">
        <v>77</v>
      </c>
      <c r="B29" s="117" t="s">
        <v>69</v>
      </c>
      <c r="C29" s="23" t="s">
        <v>26</v>
      </c>
      <c r="D29" s="51">
        <f t="shared" ref="D29:D31" si="7">SUM(E29:I29)</f>
        <v>0</v>
      </c>
      <c r="E29" s="23"/>
      <c r="F29" s="23"/>
      <c r="G29" s="23"/>
      <c r="H29" s="23"/>
      <c r="I29" s="23"/>
    </row>
    <row r="30" spans="1:9" ht="15.75">
      <c r="A30" s="115"/>
      <c r="B30" s="118"/>
      <c r="C30" s="23" t="s">
        <v>9</v>
      </c>
      <c r="D30" s="51">
        <f t="shared" si="7"/>
        <v>0</v>
      </c>
      <c r="E30" s="23"/>
      <c r="F30" s="23"/>
      <c r="G30" s="23"/>
      <c r="H30" s="23"/>
      <c r="I30" s="23"/>
    </row>
    <row r="31" spans="1:9" ht="15.75">
      <c r="A31" s="116"/>
      <c r="B31" s="119"/>
      <c r="C31" s="23" t="s">
        <v>28</v>
      </c>
      <c r="D31" s="25">
        <f t="shared" si="7"/>
        <v>0</v>
      </c>
      <c r="E31" s="25"/>
      <c r="F31" s="25"/>
      <c r="G31" s="25"/>
      <c r="H31" s="25"/>
      <c r="I31" s="25"/>
    </row>
  </sheetData>
  <mergeCells count="19">
    <mergeCell ref="B17:B19"/>
    <mergeCell ref="B20:B22"/>
    <mergeCell ref="B26:B28"/>
    <mergeCell ref="B23:B25"/>
    <mergeCell ref="A29:A31"/>
    <mergeCell ref="B29:B31"/>
    <mergeCell ref="A11:A13"/>
    <mergeCell ref="B11:B13"/>
    <mergeCell ref="C10:I10"/>
    <mergeCell ref="A14:A16"/>
    <mergeCell ref="B14:B16"/>
    <mergeCell ref="A1:I1"/>
    <mergeCell ref="B7:B9"/>
    <mergeCell ref="C4:C5"/>
    <mergeCell ref="E4:I4"/>
    <mergeCell ref="A7:A9"/>
    <mergeCell ref="A4:A5"/>
    <mergeCell ref="B4:B5"/>
    <mergeCell ref="D4:D5"/>
  </mergeCells>
  <pageMargins left="0.70866141732283472" right="0.70866141732283472" top="0.74803149606299213" bottom="0.74803149606299213" header="0.31496062992125984" footer="0.31496062992125984"/>
  <pageSetup paperSize="9" scale="87" firstPageNumber="19" orientation="landscape" useFirstPageNumber="1" verticalDpi="0" r:id="rId1"/>
  <headerFooter>
    <oddFooter>&amp;RСтраница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6"/>
  <sheetViews>
    <sheetView workbookViewId="0">
      <selection activeCell="B11" sqref="B11:B12"/>
    </sheetView>
  </sheetViews>
  <sheetFormatPr defaultRowHeight="15"/>
  <cols>
    <col min="1" max="1" width="5.140625" style="20" bestFit="1" customWidth="1"/>
    <col min="2" max="2" width="70.7109375" style="20" customWidth="1"/>
    <col min="3" max="3" width="12.7109375" style="5" customWidth="1"/>
    <col min="4" max="9" width="10.7109375" style="5" customWidth="1"/>
    <col min="10" max="16384" width="9.140625" style="5"/>
  </cols>
  <sheetData>
    <row r="1" spans="1:9" ht="54.95" customHeight="1">
      <c r="A1" s="106" t="s">
        <v>143</v>
      </c>
      <c r="B1" s="106"/>
      <c r="C1" s="106"/>
      <c r="D1" s="106"/>
      <c r="E1" s="106"/>
      <c r="F1" s="106"/>
      <c r="G1" s="106"/>
      <c r="H1" s="106"/>
      <c r="I1" s="106"/>
    </row>
    <row r="2" spans="1:9" ht="15.75">
      <c r="A2" s="30"/>
      <c r="B2" s="30"/>
      <c r="C2" s="17"/>
      <c r="D2" s="17"/>
      <c r="E2" s="17"/>
      <c r="F2" s="17"/>
      <c r="G2" s="17"/>
      <c r="H2" s="17"/>
      <c r="I2" s="24" t="s">
        <v>150</v>
      </c>
    </row>
    <row r="3" spans="1:9" ht="15.75">
      <c r="A3" s="113" t="s">
        <v>0</v>
      </c>
      <c r="B3" s="113" t="s">
        <v>17</v>
      </c>
      <c r="C3" s="110" t="s">
        <v>2</v>
      </c>
      <c r="D3" s="101" t="s">
        <v>18</v>
      </c>
      <c r="E3" s="101" t="s">
        <v>85</v>
      </c>
      <c r="F3" s="101"/>
      <c r="G3" s="101"/>
      <c r="H3" s="101"/>
      <c r="I3" s="101"/>
    </row>
    <row r="4" spans="1:9" ht="15.75">
      <c r="A4" s="113"/>
      <c r="B4" s="113"/>
      <c r="C4" s="111"/>
      <c r="D4" s="101"/>
      <c r="E4" s="21" t="s">
        <v>19</v>
      </c>
      <c r="F4" s="21" t="s">
        <v>4</v>
      </c>
      <c r="G4" s="21" t="s">
        <v>5</v>
      </c>
      <c r="H4" s="21" t="s">
        <v>6</v>
      </c>
      <c r="I4" s="21" t="s">
        <v>7</v>
      </c>
    </row>
    <row r="5" spans="1:9" ht="15.75">
      <c r="A5" s="22">
        <v>1</v>
      </c>
      <c r="B5" s="22">
        <v>2</v>
      </c>
      <c r="C5" s="21">
        <v>3</v>
      </c>
      <c r="D5" s="21">
        <v>4</v>
      </c>
      <c r="E5" s="50">
        <v>5</v>
      </c>
      <c r="F5" s="49">
        <v>6</v>
      </c>
      <c r="G5" s="49">
        <v>7</v>
      </c>
      <c r="H5" s="50">
        <v>8</v>
      </c>
      <c r="I5" s="49">
        <v>9</v>
      </c>
    </row>
    <row r="6" spans="1:9" ht="32.1" customHeight="1">
      <c r="A6" s="123" t="s">
        <v>8</v>
      </c>
      <c r="B6" s="125" t="s">
        <v>86</v>
      </c>
      <c r="C6" s="59" t="s">
        <v>13</v>
      </c>
      <c r="D6" s="55">
        <f>SUM(E6:I6)</f>
        <v>1</v>
      </c>
      <c r="E6" s="55">
        <f>SUM(E9)</f>
        <v>0</v>
      </c>
      <c r="F6" s="55">
        <f t="shared" ref="F6:I6" si="0">SUM(F9)</f>
        <v>1</v>
      </c>
      <c r="G6" s="55">
        <f t="shared" si="0"/>
        <v>0</v>
      </c>
      <c r="H6" s="55">
        <f t="shared" si="0"/>
        <v>0</v>
      </c>
      <c r="I6" s="55">
        <f t="shared" si="0"/>
        <v>0</v>
      </c>
    </row>
    <row r="7" spans="1:9" ht="32.1" customHeight="1">
      <c r="A7" s="124"/>
      <c r="B7" s="126"/>
      <c r="C7" s="59" t="s">
        <v>27</v>
      </c>
      <c r="D7" s="55">
        <f>SUM(E7:I7)</f>
        <v>5000</v>
      </c>
      <c r="E7" s="55">
        <f t="shared" ref="E7:I7" si="1">SUM(E10)</f>
        <v>0</v>
      </c>
      <c r="F7" s="55">
        <f t="shared" si="1"/>
        <v>5000</v>
      </c>
      <c r="G7" s="55">
        <f t="shared" si="1"/>
        <v>0</v>
      </c>
      <c r="H7" s="55">
        <f t="shared" si="1"/>
        <v>0</v>
      </c>
      <c r="I7" s="55">
        <f t="shared" si="1"/>
        <v>0</v>
      </c>
    </row>
    <row r="8" spans="1:9" ht="15.75">
      <c r="A8" s="33"/>
      <c r="B8" s="32" t="s">
        <v>87</v>
      </c>
      <c r="C8" s="59"/>
      <c r="D8" s="55"/>
      <c r="E8" s="55"/>
      <c r="F8" s="55"/>
      <c r="G8" s="55"/>
      <c r="H8" s="55"/>
      <c r="I8" s="55"/>
    </row>
    <row r="9" spans="1:9" ht="15.75">
      <c r="A9" s="114" t="s">
        <v>41</v>
      </c>
      <c r="B9" s="117" t="s">
        <v>88</v>
      </c>
      <c r="C9" s="60" t="s">
        <v>13</v>
      </c>
      <c r="D9" s="56">
        <f>SUM(E9:I9)</f>
        <v>1</v>
      </c>
      <c r="E9" s="56"/>
      <c r="F9" s="56">
        <v>1</v>
      </c>
      <c r="G9" s="56"/>
      <c r="H9" s="56"/>
      <c r="I9" s="56"/>
    </row>
    <row r="10" spans="1:9" ht="15.75">
      <c r="A10" s="116"/>
      <c r="B10" s="119"/>
      <c r="C10" s="60" t="s">
        <v>27</v>
      </c>
      <c r="D10" s="57">
        <f>SUM(E10:I10)</f>
        <v>5000</v>
      </c>
      <c r="E10" s="57"/>
      <c r="F10" s="57">
        <v>5000</v>
      </c>
      <c r="G10" s="57"/>
      <c r="H10" s="57"/>
      <c r="I10" s="57"/>
    </row>
    <row r="11" spans="1:9" ht="32.1" customHeight="1">
      <c r="A11" s="123" t="s">
        <v>10</v>
      </c>
      <c r="B11" s="125" t="s">
        <v>89</v>
      </c>
      <c r="C11" s="59" t="s">
        <v>90</v>
      </c>
      <c r="D11" s="55">
        <f>SUM(E11:I11)</f>
        <v>5.0730000000000004</v>
      </c>
      <c r="E11" s="55">
        <f>SUM(E14)</f>
        <v>0</v>
      </c>
      <c r="F11" s="55">
        <f t="shared" ref="F11:I11" si="2">SUM(F14)</f>
        <v>0</v>
      </c>
      <c r="G11" s="55">
        <f t="shared" si="2"/>
        <v>5.0730000000000004</v>
      </c>
      <c r="H11" s="55">
        <f t="shared" si="2"/>
        <v>0</v>
      </c>
      <c r="I11" s="55">
        <f t="shared" si="2"/>
        <v>0</v>
      </c>
    </row>
    <row r="12" spans="1:9" ht="32.1" customHeight="1">
      <c r="A12" s="124"/>
      <c r="B12" s="126"/>
      <c r="C12" s="59" t="s">
        <v>27</v>
      </c>
      <c r="D12" s="55">
        <f>SUM(E12:I12)</f>
        <v>0</v>
      </c>
      <c r="E12" s="55">
        <f t="shared" ref="E12:I12" si="3">SUM(E15)</f>
        <v>0</v>
      </c>
      <c r="F12" s="55">
        <f t="shared" si="3"/>
        <v>0</v>
      </c>
      <c r="G12" s="55">
        <f t="shared" si="3"/>
        <v>0</v>
      </c>
      <c r="H12" s="55">
        <f t="shared" si="3"/>
        <v>0</v>
      </c>
      <c r="I12" s="55">
        <f t="shared" si="3"/>
        <v>0</v>
      </c>
    </row>
    <row r="13" spans="1:9" ht="15.75">
      <c r="A13" s="33"/>
      <c r="B13" s="32" t="s">
        <v>87</v>
      </c>
      <c r="C13" s="59"/>
      <c r="D13" s="55"/>
      <c r="E13" s="55"/>
      <c r="F13" s="55"/>
      <c r="G13" s="55"/>
      <c r="H13" s="55"/>
      <c r="I13" s="55"/>
    </row>
    <row r="14" spans="1:9" ht="15.75">
      <c r="A14" s="114" t="s">
        <v>98</v>
      </c>
      <c r="B14" s="117" t="s">
        <v>88</v>
      </c>
      <c r="C14" s="60" t="s">
        <v>90</v>
      </c>
      <c r="D14" s="56">
        <f>SUM(E14:I14)</f>
        <v>5.0730000000000004</v>
      </c>
      <c r="E14" s="56"/>
      <c r="F14" s="56"/>
      <c r="G14" s="56">
        <v>5.0730000000000004</v>
      </c>
      <c r="H14" s="56"/>
      <c r="I14" s="56"/>
    </row>
    <row r="15" spans="1:9" ht="15.75">
      <c r="A15" s="116"/>
      <c r="B15" s="119"/>
      <c r="C15" s="60" t="s">
        <v>27</v>
      </c>
      <c r="D15" s="57"/>
      <c r="E15" s="57"/>
      <c r="F15" s="57"/>
      <c r="G15" s="57"/>
      <c r="H15" s="57"/>
      <c r="I15" s="57"/>
    </row>
    <row r="16" spans="1:9" ht="15.75">
      <c r="A16" s="127" t="s">
        <v>99</v>
      </c>
      <c r="B16" s="127"/>
      <c r="C16" s="59" t="s">
        <v>27</v>
      </c>
      <c r="D16" s="58">
        <f>SUM(D10,D15)</f>
        <v>5000</v>
      </c>
      <c r="E16" s="58">
        <f t="shared" ref="E16:I16" si="4">SUM(E10,E15)</f>
        <v>0</v>
      </c>
      <c r="F16" s="58">
        <f t="shared" si="4"/>
        <v>5000</v>
      </c>
      <c r="G16" s="58">
        <f t="shared" si="4"/>
        <v>0</v>
      </c>
      <c r="H16" s="58">
        <f t="shared" si="4"/>
        <v>0</v>
      </c>
      <c r="I16" s="58">
        <f t="shared" si="4"/>
        <v>0</v>
      </c>
    </row>
  </sheetData>
  <mergeCells count="15">
    <mergeCell ref="A16:B16"/>
    <mergeCell ref="A9:A10"/>
    <mergeCell ref="B9:B10"/>
    <mergeCell ref="A11:A12"/>
    <mergeCell ref="B11:B12"/>
    <mergeCell ref="A14:A15"/>
    <mergeCell ref="B14:B15"/>
    <mergeCell ref="A6:A7"/>
    <mergeCell ref="B6:B7"/>
    <mergeCell ref="A1:I1"/>
    <mergeCell ref="A3:A4"/>
    <mergeCell ref="B3:B4"/>
    <mergeCell ref="C3:C4"/>
    <mergeCell ref="D3:D4"/>
    <mergeCell ref="E3:I3"/>
  </mergeCells>
  <pageMargins left="0.70866141732283472" right="0.70866141732283472" top="0.74803149606299213" bottom="0.74803149606299213" header="0.31496062992125984" footer="0.31496062992125984"/>
  <pageSetup paperSize="9" scale="85" firstPageNumber="20" orientation="landscape" useFirstPageNumber="1" verticalDpi="0" r:id="rId1"/>
  <headerFooter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2"/>
  <sheetViews>
    <sheetView workbookViewId="0">
      <selection activeCell="D9" sqref="D9:D22"/>
    </sheetView>
  </sheetViews>
  <sheetFormatPr defaultRowHeight="15"/>
  <cols>
    <col min="1" max="1" width="5.140625" style="5" bestFit="1" customWidth="1"/>
    <col min="2" max="2" width="48.28515625" style="5" customWidth="1"/>
    <col min="3" max="3" width="12.7109375" style="5" customWidth="1"/>
    <col min="4" max="9" width="10.7109375" style="5" customWidth="1"/>
    <col min="10" max="16384" width="9.140625" style="5"/>
  </cols>
  <sheetData>
    <row r="1" spans="1:9" ht="37.5" customHeight="1">
      <c r="A1" s="106" t="s">
        <v>144</v>
      </c>
      <c r="B1" s="106"/>
      <c r="C1" s="106"/>
      <c r="D1" s="106"/>
      <c r="E1" s="106"/>
      <c r="F1" s="106"/>
      <c r="G1" s="106"/>
      <c r="H1" s="106"/>
      <c r="I1" s="106"/>
    </row>
    <row r="2" spans="1:9" ht="15.75">
      <c r="A2" s="17"/>
      <c r="B2" s="17"/>
      <c r="C2" s="17"/>
      <c r="D2" s="17"/>
      <c r="E2" s="17"/>
      <c r="F2" s="17"/>
      <c r="G2" s="17"/>
      <c r="H2" s="17"/>
      <c r="I2" s="24" t="s">
        <v>29</v>
      </c>
    </row>
    <row r="3" spans="1:9" ht="15.75">
      <c r="A3" s="101" t="s">
        <v>0</v>
      </c>
      <c r="B3" s="101" t="s">
        <v>17</v>
      </c>
      <c r="C3" s="110" t="s">
        <v>2</v>
      </c>
      <c r="D3" s="101" t="s">
        <v>18</v>
      </c>
      <c r="E3" s="101" t="s">
        <v>85</v>
      </c>
      <c r="F3" s="101"/>
      <c r="G3" s="101"/>
      <c r="H3" s="101"/>
      <c r="I3" s="101"/>
    </row>
    <row r="4" spans="1:9" ht="15.75">
      <c r="A4" s="101"/>
      <c r="B4" s="101"/>
      <c r="C4" s="111"/>
      <c r="D4" s="101"/>
      <c r="E4" s="21" t="s">
        <v>19</v>
      </c>
      <c r="F4" s="21" t="s">
        <v>4</v>
      </c>
      <c r="G4" s="21" t="s">
        <v>5</v>
      </c>
      <c r="H4" s="21" t="s">
        <v>6</v>
      </c>
      <c r="I4" s="21" t="s">
        <v>7</v>
      </c>
    </row>
    <row r="5" spans="1:9" ht="15.75">
      <c r="A5" s="21">
        <v>1</v>
      </c>
      <c r="B5" s="21">
        <v>2</v>
      </c>
      <c r="C5" s="21">
        <v>3</v>
      </c>
      <c r="D5" s="21">
        <v>4</v>
      </c>
      <c r="E5" s="49">
        <v>5</v>
      </c>
      <c r="F5" s="49">
        <v>6</v>
      </c>
      <c r="G5" s="49">
        <v>7</v>
      </c>
      <c r="H5" s="49">
        <v>8</v>
      </c>
      <c r="I5" s="49">
        <v>9</v>
      </c>
    </row>
    <row r="6" spans="1:9" ht="15.75" customHeight="1">
      <c r="A6" s="110" t="s">
        <v>8</v>
      </c>
      <c r="B6" s="129" t="s">
        <v>92</v>
      </c>
      <c r="C6" s="76" t="s">
        <v>13</v>
      </c>
      <c r="D6" s="54">
        <f t="shared" ref="D6:I7" si="0">SUM(D19,D9,D11,D13,D15,D17,D21)</f>
        <v>8</v>
      </c>
      <c r="E6" s="54">
        <f t="shared" si="0"/>
        <v>1</v>
      </c>
      <c r="F6" s="54">
        <f t="shared" si="0"/>
        <v>7</v>
      </c>
      <c r="G6" s="54">
        <f t="shared" si="0"/>
        <v>0</v>
      </c>
      <c r="H6" s="54">
        <f t="shared" si="0"/>
        <v>0</v>
      </c>
      <c r="I6" s="54">
        <f t="shared" si="0"/>
        <v>0</v>
      </c>
    </row>
    <row r="7" spans="1:9" ht="15.75" customHeight="1">
      <c r="A7" s="111"/>
      <c r="B7" s="129"/>
      <c r="C7" s="21" t="s">
        <v>28</v>
      </c>
      <c r="D7" s="42">
        <f t="shared" si="0"/>
        <v>3516.7579999999998</v>
      </c>
      <c r="E7" s="42">
        <f t="shared" si="0"/>
        <v>723.85799999999995</v>
      </c>
      <c r="F7" s="42">
        <f t="shared" si="0"/>
        <v>2792.9</v>
      </c>
      <c r="G7" s="42">
        <f t="shared" si="0"/>
        <v>0</v>
      </c>
      <c r="H7" s="42">
        <f t="shared" si="0"/>
        <v>0</v>
      </c>
      <c r="I7" s="42">
        <f t="shared" si="0"/>
        <v>0</v>
      </c>
    </row>
    <row r="8" spans="1:9" ht="15.75" customHeight="1">
      <c r="A8" s="29"/>
      <c r="B8" s="75" t="s">
        <v>149</v>
      </c>
      <c r="C8" s="21"/>
      <c r="D8" s="28"/>
      <c r="E8" s="28"/>
      <c r="F8" s="28"/>
      <c r="G8" s="28"/>
      <c r="H8" s="28"/>
      <c r="I8" s="28"/>
    </row>
    <row r="9" spans="1:9" ht="15.75">
      <c r="A9" s="114" t="s">
        <v>41</v>
      </c>
      <c r="B9" s="128" t="s">
        <v>20</v>
      </c>
      <c r="C9" s="74" t="s">
        <v>13</v>
      </c>
      <c r="D9" s="36">
        <f t="shared" ref="D9:D22" si="1">SUM(E9:I9)</f>
        <v>1</v>
      </c>
      <c r="E9" s="36"/>
      <c r="F9" s="36">
        <v>1</v>
      </c>
      <c r="G9" s="36"/>
      <c r="H9" s="36"/>
      <c r="I9" s="36"/>
    </row>
    <row r="10" spans="1:9" ht="15.75">
      <c r="A10" s="116"/>
      <c r="B10" s="128"/>
      <c r="C10" s="23" t="s">
        <v>28</v>
      </c>
      <c r="D10" s="37">
        <f t="shared" si="1"/>
        <v>50.6</v>
      </c>
      <c r="E10" s="37"/>
      <c r="F10" s="37">
        <f>'БУСТ 2021'!F5</f>
        <v>50.6</v>
      </c>
      <c r="G10" s="37"/>
      <c r="H10" s="37"/>
      <c r="I10" s="37"/>
    </row>
    <row r="11" spans="1:9" ht="15.75">
      <c r="A11" s="114" t="s">
        <v>72</v>
      </c>
      <c r="B11" s="128" t="s">
        <v>21</v>
      </c>
      <c r="C11" s="74" t="s">
        <v>13</v>
      </c>
      <c r="D11" s="36">
        <f t="shared" si="1"/>
        <v>1</v>
      </c>
      <c r="E11" s="36"/>
      <c r="F11" s="36">
        <v>1</v>
      </c>
      <c r="G11" s="36"/>
      <c r="H11" s="36"/>
      <c r="I11" s="36"/>
    </row>
    <row r="12" spans="1:9" ht="15.75">
      <c r="A12" s="116"/>
      <c r="B12" s="128"/>
      <c r="C12" s="23" t="s">
        <v>28</v>
      </c>
      <c r="D12" s="37">
        <f t="shared" si="1"/>
        <v>202.3</v>
      </c>
      <c r="E12" s="37"/>
      <c r="F12" s="37">
        <f>'БУСТ 2021'!F6</f>
        <v>202.3</v>
      </c>
      <c r="G12" s="37"/>
      <c r="H12" s="37"/>
      <c r="I12" s="37"/>
    </row>
    <row r="13" spans="1:9" ht="15.75">
      <c r="A13" s="114" t="s">
        <v>73</v>
      </c>
      <c r="B13" s="128" t="s">
        <v>22</v>
      </c>
      <c r="C13" s="74" t="s">
        <v>13</v>
      </c>
      <c r="D13" s="36">
        <f t="shared" si="1"/>
        <v>1</v>
      </c>
      <c r="E13" s="36"/>
      <c r="F13" s="36">
        <v>1</v>
      </c>
      <c r="G13" s="36"/>
      <c r="H13" s="36"/>
      <c r="I13" s="36"/>
    </row>
    <row r="14" spans="1:9" ht="15.75">
      <c r="A14" s="116"/>
      <c r="B14" s="128"/>
      <c r="C14" s="23" t="s">
        <v>28</v>
      </c>
      <c r="D14" s="37">
        <f t="shared" si="1"/>
        <v>354</v>
      </c>
      <c r="E14" s="37"/>
      <c r="F14" s="37">
        <f>'БУСТ 2021'!F7</f>
        <v>354</v>
      </c>
      <c r="G14" s="37"/>
      <c r="H14" s="37"/>
      <c r="I14" s="37"/>
    </row>
    <row r="15" spans="1:9" ht="15.75">
      <c r="A15" s="114" t="s">
        <v>74</v>
      </c>
      <c r="B15" s="128" t="s">
        <v>23</v>
      </c>
      <c r="C15" s="74" t="s">
        <v>13</v>
      </c>
      <c r="D15" s="36">
        <f t="shared" si="1"/>
        <v>1</v>
      </c>
      <c r="E15" s="36"/>
      <c r="F15" s="36">
        <v>1</v>
      </c>
      <c r="G15" s="36"/>
      <c r="H15" s="36"/>
      <c r="I15" s="36"/>
    </row>
    <row r="16" spans="1:9" ht="15.75">
      <c r="A16" s="116"/>
      <c r="B16" s="128"/>
      <c r="C16" s="23" t="s">
        <v>28</v>
      </c>
      <c r="D16" s="37">
        <f t="shared" si="1"/>
        <v>910.3</v>
      </c>
      <c r="E16" s="37"/>
      <c r="F16" s="37">
        <f>'БУСТ 2021'!F8</f>
        <v>910.3</v>
      </c>
      <c r="G16" s="37"/>
      <c r="H16" s="37"/>
      <c r="I16" s="37"/>
    </row>
    <row r="17" spans="1:9" ht="15.75">
      <c r="A17" s="114" t="s">
        <v>75</v>
      </c>
      <c r="B17" s="128" t="s">
        <v>24</v>
      </c>
      <c r="C17" s="74" t="s">
        <v>13</v>
      </c>
      <c r="D17" s="36">
        <f t="shared" ref="D17:D18" si="2">SUM(E17:I17)</f>
        <v>2</v>
      </c>
      <c r="E17" s="36">
        <v>1</v>
      </c>
      <c r="F17" s="36">
        <v>1</v>
      </c>
      <c r="G17" s="36"/>
      <c r="H17" s="36"/>
      <c r="I17" s="36"/>
    </row>
    <row r="18" spans="1:9" ht="15.75">
      <c r="A18" s="116"/>
      <c r="B18" s="128"/>
      <c r="C18" s="23" t="s">
        <v>28</v>
      </c>
      <c r="D18" s="37">
        <f t="shared" si="2"/>
        <v>1027.2579999999998</v>
      </c>
      <c r="E18" s="37">
        <v>723.85799999999995</v>
      </c>
      <c r="F18" s="37">
        <f>'БУСТ 2021'!F9</f>
        <v>303.39999999999998</v>
      </c>
      <c r="G18" s="37"/>
      <c r="H18" s="37"/>
      <c r="I18" s="37"/>
    </row>
    <row r="19" spans="1:9" ht="15.75">
      <c r="A19" s="114" t="s">
        <v>76</v>
      </c>
      <c r="B19" s="128" t="s">
        <v>80</v>
      </c>
      <c r="C19" s="74" t="s">
        <v>13</v>
      </c>
      <c r="D19" s="36">
        <f t="shared" si="1"/>
        <v>1</v>
      </c>
      <c r="E19" s="36"/>
      <c r="F19" s="36">
        <v>1</v>
      </c>
      <c r="G19" s="36"/>
      <c r="H19" s="36"/>
      <c r="I19" s="36"/>
    </row>
    <row r="20" spans="1:9" ht="15.75">
      <c r="A20" s="116"/>
      <c r="B20" s="128"/>
      <c r="C20" s="23" t="s">
        <v>28</v>
      </c>
      <c r="D20" s="37">
        <f t="shared" si="1"/>
        <v>668.9</v>
      </c>
      <c r="E20" s="37"/>
      <c r="F20" s="37">
        <f>'БУСТ 2021'!F10</f>
        <v>668.9</v>
      </c>
      <c r="G20" s="37"/>
      <c r="H20" s="37"/>
      <c r="I20" s="37"/>
    </row>
    <row r="21" spans="1:9" ht="15.75">
      <c r="A21" s="114" t="s">
        <v>77</v>
      </c>
      <c r="B21" s="128" t="s">
        <v>69</v>
      </c>
      <c r="C21" s="74" t="s">
        <v>13</v>
      </c>
      <c r="D21" s="36">
        <f t="shared" si="1"/>
        <v>1</v>
      </c>
      <c r="E21" s="36"/>
      <c r="F21" s="36">
        <v>1</v>
      </c>
      <c r="G21" s="36"/>
      <c r="H21" s="36"/>
      <c r="I21" s="36"/>
    </row>
    <row r="22" spans="1:9" ht="15.75">
      <c r="A22" s="116"/>
      <c r="B22" s="128"/>
      <c r="C22" s="23" t="s">
        <v>28</v>
      </c>
      <c r="D22" s="37">
        <f t="shared" si="1"/>
        <v>303.39999999999998</v>
      </c>
      <c r="E22" s="37"/>
      <c r="F22" s="37">
        <f>'БУСТ 2021'!F11</f>
        <v>303.39999999999998</v>
      </c>
      <c r="G22" s="37"/>
      <c r="H22" s="37"/>
      <c r="I22" s="37"/>
    </row>
  </sheetData>
  <mergeCells count="22">
    <mergeCell ref="A21:A22"/>
    <mergeCell ref="B21:B22"/>
    <mergeCell ref="A1:I1"/>
    <mergeCell ref="A3:A4"/>
    <mergeCell ref="B3:B4"/>
    <mergeCell ref="C3:C4"/>
    <mergeCell ref="D3:D4"/>
    <mergeCell ref="E3:I3"/>
    <mergeCell ref="A11:A12"/>
    <mergeCell ref="B11:B12"/>
    <mergeCell ref="A6:A7"/>
    <mergeCell ref="B6:B7"/>
    <mergeCell ref="A19:A20"/>
    <mergeCell ref="B19:B20"/>
    <mergeCell ref="A9:A10"/>
    <mergeCell ref="B9:B10"/>
    <mergeCell ref="A13:A14"/>
    <mergeCell ref="B13:B14"/>
    <mergeCell ref="A15:A16"/>
    <mergeCell ref="B15:B16"/>
    <mergeCell ref="A17:A18"/>
    <mergeCell ref="B17:B18"/>
  </mergeCells>
  <pageMargins left="0.70866141732283472" right="0.70866141732283472" top="0.74803149606299213" bottom="0.74803149606299213" header="0.31496062992125984" footer="0.31496062992125984"/>
  <pageSetup paperSize="9" firstPageNumber="21" orientation="landscape" useFirstPageNumber="1" verticalDpi="0" r:id="rId1"/>
  <headerFooter>
    <oddFooter>&amp;RСтраница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7"/>
  <sheetViews>
    <sheetView workbookViewId="0">
      <selection activeCell="E8" sqref="E8"/>
    </sheetView>
  </sheetViews>
  <sheetFormatPr defaultRowHeight="15"/>
  <cols>
    <col min="1" max="1" width="6.5703125" style="5" bestFit="1" customWidth="1"/>
    <col min="2" max="2" width="45.85546875" style="5" customWidth="1"/>
    <col min="3" max="3" width="12.7109375" style="5" customWidth="1"/>
    <col min="4" max="9" width="10.7109375" style="5" customWidth="1"/>
    <col min="10" max="16384" width="9.140625" style="5"/>
  </cols>
  <sheetData>
    <row r="1" spans="1:9" ht="37.5" customHeight="1">
      <c r="A1" s="106" t="s">
        <v>145</v>
      </c>
      <c r="B1" s="106"/>
      <c r="C1" s="106"/>
      <c r="D1" s="106"/>
      <c r="E1" s="106"/>
      <c r="F1" s="106"/>
      <c r="G1" s="106"/>
      <c r="H1" s="106"/>
      <c r="I1" s="106"/>
    </row>
    <row r="2" spans="1:9" ht="15.75">
      <c r="A2" s="17"/>
      <c r="B2" s="17"/>
      <c r="C2" s="17"/>
      <c r="D2" s="17"/>
      <c r="E2" s="17"/>
      <c r="F2" s="17"/>
      <c r="G2" s="17"/>
      <c r="H2" s="17"/>
      <c r="I2" s="24" t="s">
        <v>30</v>
      </c>
    </row>
    <row r="3" spans="1:9" ht="15.75">
      <c r="A3" s="101" t="s">
        <v>0</v>
      </c>
      <c r="B3" s="101" t="s">
        <v>17</v>
      </c>
      <c r="C3" s="110" t="s">
        <v>2</v>
      </c>
      <c r="D3" s="101" t="s">
        <v>18</v>
      </c>
      <c r="E3" s="101" t="s">
        <v>85</v>
      </c>
      <c r="F3" s="101"/>
      <c r="G3" s="101"/>
      <c r="H3" s="101"/>
      <c r="I3" s="101"/>
    </row>
    <row r="4" spans="1:9" ht="15.75">
      <c r="A4" s="101"/>
      <c r="B4" s="101"/>
      <c r="C4" s="111"/>
      <c r="D4" s="101"/>
      <c r="E4" s="21" t="s">
        <v>19</v>
      </c>
      <c r="F4" s="21" t="s">
        <v>4</v>
      </c>
      <c r="G4" s="21" t="s">
        <v>5</v>
      </c>
      <c r="H4" s="21" t="s">
        <v>6</v>
      </c>
      <c r="I4" s="21" t="s">
        <v>7</v>
      </c>
    </row>
    <row r="5" spans="1:9" ht="15.75">
      <c r="A5" s="21">
        <v>1</v>
      </c>
      <c r="B5" s="21">
        <v>2</v>
      </c>
      <c r="C5" s="21">
        <v>3</v>
      </c>
      <c r="D5" s="21">
        <v>4</v>
      </c>
      <c r="E5" s="49">
        <v>5</v>
      </c>
      <c r="F5" s="49">
        <v>6</v>
      </c>
      <c r="G5" s="49">
        <v>7</v>
      </c>
      <c r="H5" s="49">
        <v>8</v>
      </c>
      <c r="I5" s="49">
        <v>9</v>
      </c>
    </row>
    <row r="6" spans="1:9" ht="15.75" customHeight="1">
      <c r="A6" s="110" t="s">
        <v>8</v>
      </c>
      <c r="B6" s="129" t="s">
        <v>84</v>
      </c>
      <c r="C6" s="76" t="s">
        <v>13</v>
      </c>
      <c r="D6" s="54">
        <f>SUM(E6:I6)</f>
        <v>0</v>
      </c>
      <c r="E6" s="54">
        <f>SUM(E9,E11,E13,E15,E17,E19,E21,E23,E25)</f>
        <v>0</v>
      </c>
      <c r="F6" s="54">
        <f t="shared" ref="F6:I6" si="0">SUM(F9,F11,F13,F15,F17,F19,F21,F23,F25)</f>
        <v>0</v>
      </c>
      <c r="G6" s="54">
        <f t="shared" si="0"/>
        <v>0</v>
      </c>
      <c r="H6" s="54">
        <f t="shared" si="0"/>
        <v>0</v>
      </c>
      <c r="I6" s="54">
        <f t="shared" si="0"/>
        <v>0</v>
      </c>
    </row>
    <row r="7" spans="1:9" ht="15.75" customHeight="1">
      <c r="A7" s="111"/>
      <c r="B7" s="129"/>
      <c r="C7" s="21" t="s">
        <v>28</v>
      </c>
      <c r="D7" s="42">
        <f>SUM(E7:I7)</f>
        <v>156</v>
      </c>
      <c r="E7" s="42">
        <f>SUM(E10,E12,E14,E16,E18,E20,E22,E24,E26)</f>
        <v>156</v>
      </c>
      <c r="F7" s="42">
        <f t="shared" ref="E7:I7" si="1">SUM(F10,F12,F14,F16,F18,F20,F22,F24,F26)</f>
        <v>0</v>
      </c>
      <c r="G7" s="42">
        <f t="shared" si="1"/>
        <v>0</v>
      </c>
      <c r="H7" s="42">
        <f t="shared" si="1"/>
        <v>0</v>
      </c>
      <c r="I7" s="42">
        <f t="shared" si="1"/>
        <v>0</v>
      </c>
    </row>
    <row r="8" spans="1:9" ht="15.75">
      <c r="A8" s="29"/>
      <c r="B8" s="35" t="s">
        <v>93</v>
      </c>
      <c r="C8" s="21"/>
      <c r="D8" s="28"/>
      <c r="E8" s="28"/>
      <c r="F8" s="28"/>
      <c r="G8" s="28"/>
      <c r="H8" s="28"/>
      <c r="I8" s="28"/>
    </row>
    <row r="9" spans="1:9" ht="15.75" customHeight="1">
      <c r="A9" s="114" t="s">
        <v>41</v>
      </c>
      <c r="B9" s="128" t="s">
        <v>80</v>
      </c>
      <c r="C9" s="74" t="s">
        <v>13</v>
      </c>
      <c r="D9" s="36">
        <f t="shared" ref="D9:D26" si="2">SUM(E9:I9)</f>
        <v>0</v>
      </c>
      <c r="E9" s="36">
        <v>0</v>
      </c>
      <c r="F9" s="36">
        <v>0</v>
      </c>
      <c r="G9" s="36">
        <v>0</v>
      </c>
      <c r="H9" s="36">
        <v>0</v>
      </c>
      <c r="I9" s="36">
        <v>0</v>
      </c>
    </row>
    <row r="10" spans="1:9" ht="15.75">
      <c r="A10" s="116"/>
      <c r="B10" s="128"/>
      <c r="C10" s="23" t="s">
        <v>28</v>
      </c>
      <c r="D10" s="37">
        <f t="shared" si="2"/>
        <v>0</v>
      </c>
      <c r="E10" s="37">
        <v>0</v>
      </c>
      <c r="F10" s="37">
        <v>0</v>
      </c>
      <c r="G10" s="37">
        <v>0</v>
      </c>
      <c r="H10" s="37">
        <v>0</v>
      </c>
      <c r="I10" s="37">
        <v>0</v>
      </c>
    </row>
    <row r="11" spans="1:9" ht="15.75">
      <c r="A11" s="114" t="s">
        <v>72</v>
      </c>
      <c r="B11" s="128" t="s">
        <v>20</v>
      </c>
      <c r="C11" s="74" t="s">
        <v>13</v>
      </c>
      <c r="D11" s="36">
        <f t="shared" si="2"/>
        <v>0</v>
      </c>
      <c r="E11" s="36">
        <v>0</v>
      </c>
      <c r="F11" s="36">
        <v>0</v>
      </c>
      <c r="G11" s="36">
        <v>0</v>
      </c>
      <c r="H11" s="36">
        <v>0</v>
      </c>
      <c r="I11" s="36">
        <v>0</v>
      </c>
    </row>
    <row r="12" spans="1:9" ht="15.75">
      <c r="A12" s="116"/>
      <c r="B12" s="128"/>
      <c r="C12" s="23" t="s">
        <v>28</v>
      </c>
      <c r="D12" s="37">
        <f t="shared" si="2"/>
        <v>0</v>
      </c>
      <c r="E12" s="37">
        <v>0</v>
      </c>
      <c r="F12" s="37">
        <v>0</v>
      </c>
      <c r="G12" s="37">
        <v>0</v>
      </c>
      <c r="H12" s="37">
        <v>0</v>
      </c>
      <c r="I12" s="37">
        <v>0</v>
      </c>
    </row>
    <row r="13" spans="1:9" ht="15.75">
      <c r="A13" s="114" t="s">
        <v>73</v>
      </c>
      <c r="B13" s="128" t="s">
        <v>21</v>
      </c>
      <c r="C13" s="74" t="s">
        <v>13</v>
      </c>
      <c r="D13" s="36">
        <f t="shared" si="2"/>
        <v>0</v>
      </c>
      <c r="E13" s="36">
        <v>0</v>
      </c>
      <c r="F13" s="36">
        <v>0</v>
      </c>
      <c r="G13" s="36">
        <v>0</v>
      </c>
      <c r="H13" s="36">
        <v>0</v>
      </c>
      <c r="I13" s="36">
        <v>0</v>
      </c>
    </row>
    <row r="14" spans="1:9" ht="15.75">
      <c r="A14" s="116"/>
      <c r="B14" s="128"/>
      <c r="C14" s="23" t="s">
        <v>28</v>
      </c>
      <c r="D14" s="37">
        <f t="shared" si="2"/>
        <v>0</v>
      </c>
      <c r="E14" s="37">
        <v>0</v>
      </c>
      <c r="F14" s="37">
        <v>0</v>
      </c>
      <c r="G14" s="37">
        <v>0</v>
      </c>
      <c r="H14" s="37">
        <v>0</v>
      </c>
      <c r="I14" s="37">
        <v>0</v>
      </c>
    </row>
    <row r="15" spans="1:9" ht="15.75">
      <c r="A15" s="114" t="s">
        <v>74</v>
      </c>
      <c r="B15" s="128" t="s">
        <v>22</v>
      </c>
      <c r="C15" s="74" t="s">
        <v>13</v>
      </c>
      <c r="D15" s="36">
        <f t="shared" si="2"/>
        <v>0</v>
      </c>
      <c r="E15" s="36">
        <v>0</v>
      </c>
      <c r="F15" s="36">
        <v>0</v>
      </c>
      <c r="G15" s="36">
        <v>0</v>
      </c>
      <c r="H15" s="36">
        <v>0</v>
      </c>
      <c r="I15" s="36">
        <v>0</v>
      </c>
    </row>
    <row r="16" spans="1:9" ht="15.75">
      <c r="A16" s="116"/>
      <c r="B16" s="128"/>
      <c r="C16" s="23" t="s">
        <v>28</v>
      </c>
      <c r="D16" s="37">
        <f t="shared" si="2"/>
        <v>0</v>
      </c>
      <c r="E16" s="37">
        <v>0</v>
      </c>
      <c r="F16" s="37">
        <v>0</v>
      </c>
      <c r="G16" s="37">
        <v>0</v>
      </c>
      <c r="H16" s="37">
        <v>0</v>
      </c>
      <c r="I16" s="37">
        <v>0</v>
      </c>
    </row>
    <row r="17" spans="1:9" ht="15.75">
      <c r="A17" s="114" t="s">
        <v>75</v>
      </c>
      <c r="B17" s="128" t="s">
        <v>23</v>
      </c>
      <c r="C17" s="74" t="s">
        <v>13</v>
      </c>
      <c r="D17" s="36">
        <f t="shared" si="2"/>
        <v>0</v>
      </c>
      <c r="E17" s="36">
        <v>0</v>
      </c>
      <c r="F17" s="36">
        <v>0</v>
      </c>
      <c r="G17" s="36">
        <v>0</v>
      </c>
      <c r="H17" s="36">
        <v>0</v>
      </c>
      <c r="I17" s="36">
        <v>0</v>
      </c>
    </row>
    <row r="18" spans="1:9" ht="15.75">
      <c r="A18" s="116"/>
      <c r="B18" s="128"/>
      <c r="C18" s="23" t="s">
        <v>28</v>
      </c>
      <c r="D18" s="37">
        <f t="shared" si="2"/>
        <v>156</v>
      </c>
      <c r="E18" s="37">
        <v>156</v>
      </c>
      <c r="F18" s="37">
        <v>0</v>
      </c>
      <c r="G18" s="37">
        <v>0</v>
      </c>
      <c r="H18" s="37">
        <v>0</v>
      </c>
      <c r="I18" s="37">
        <v>0</v>
      </c>
    </row>
    <row r="19" spans="1:9" ht="15.75">
      <c r="A19" s="114" t="s">
        <v>76</v>
      </c>
      <c r="B19" s="128" t="s">
        <v>24</v>
      </c>
      <c r="C19" s="74" t="s">
        <v>13</v>
      </c>
      <c r="D19" s="36">
        <f t="shared" si="2"/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</row>
    <row r="20" spans="1:9" ht="15.75">
      <c r="A20" s="116"/>
      <c r="B20" s="128"/>
      <c r="C20" s="23" t="s">
        <v>28</v>
      </c>
      <c r="D20" s="37">
        <f t="shared" si="2"/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</row>
    <row r="21" spans="1:9" ht="15.75">
      <c r="A21" s="114" t="s">
        <v>77</v>
      </c>
      <c r="B21" s="128" t="s">
        <v>69</v>
      </c>
      <c r="C21" s="74" t="s">
        <v>13</v>
      </c>
      <c r="D21" s="36">
        <f t="shared" si="2"/>
        <v>0</v>
      </c>
      <c r="E21" s="36">
        <v>0</v>
      </c>
      <c r="F21" s="36">
        <v>0</v>
      </c>
      <c r="G21" s="36">
        <v>0</v>
      </c>
      <c r="H21" s="36">
        <v>0</v>
      </c>
      <c r="I21" s="36">
        <v>0</v>
      </c>
    </row>
    <row r="22" spans="1:9" ht="15.75">
      <c r="A22" s="116"/>
      <c r="B22" s="128"/>
      <c r="C22" s="23" t="s">
        <v>28</v>
      </c>
      <c r="D22" s="37">
        <f t="shared" si="2"/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</row>
    <row r="23" spans="1:9" ht="15.75">
      <c r="A23" s="114" t="s">
        <v>78</v>
      </c>
      <c r="B23" s="128" t="s">
        <v>70</v>
      </c>
      <c r="C23" s="74" t="s">
        <v>13</v>
      </c>
      <c r="D23" s="36">
        <f t="shared" si="2"/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</row>
    <row r="24" spans="1:9" ht="15.75">
      <c r="A24" s="116"/>
      <c r="B24" s="128"/>
      <c r="C24" s="23" t="s">
        <v>28</v>
      </c>
      <c r="D24" s="37">
        <f t="shared" si="2"/>
        <v>0</v>
      </c>
      <c r="E24" s="37">
        <v>0</v>
      </c>
      <c r="F24" s="37">
        <v>0</v>
      </c>
      <c r="G24" s="37">
        <v>0</v>
      </c>
      <c r="H24" s="37">
        <v>0</v>
      </c>
      <c r="I24" s="37">
        <v>0</v>
      </c>
    </row>
    <row r="25" spans="1:9" ht="15.75">
      <c r="A25" s="114" t="s">
        <v>79</v>
      </c>
      <c r="B25" s="128" t="s">
        <v>71</v>
      </c>
      <c r="C25" s="74" t="s">
        <v>13</v>
      </c>
      <c r="D25" s="36">
        <f t="shared" si="2"/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</row>
    <row r="26" spans="1:9" ht="15.75">
      <c r="A26" s="116"/>
      <c r="B26" s="128"/>
      <c r="C26" s="23" t="s">
        <v>28</v>
      </c>
      <c r="D26" s="37">
        <f t="shared" si="2"/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</row>
    <row r="27" spans="1:9">
      <c r="A27" s="72"/>
    </row>
  </sheetData>
  <mergeCells count="26">
    <mergeCell ref="A25:A26"/>
    <mergeCell ref="B25:B26"/>
    <mergeCell ref="A19:A20"/>
    <mergeCell ref="B19:B20"/>
    <mergeCell ref="A21:A22"/>
    <mergeCell ref="B21:B22"/>
    <mergeCell ref="A23:A24"/>
    <mergeCell ref="B23:B24"/>
    <mergeCell ref="A13:A14"/>
    <mergeCell ref="B13:B14"/>
    <mergeCell ref="A15:A16"/>
    <mergeCell ref="B15:B16"/>
    <mergeCell ref="A17:A18"/>
    <mergeCell ref="B17:B18"/>
    <mergeCell ref="A1:I1"/>
    <mergeCell ref="A3:A4"/>
    <mergeCell ref="B3:B4"/>
    <mergeCell ref="C3:C4"/>
    <mergeCell ref="D3:D4"/>
    <mergeCell ref="E3:I3"/>
    <mergeCell ref="A6:A7"/>
    <mergeCell ref="B6:B7"/>
    <mergeCell ref="A9:A10"/>
    <mergeCell ref="B9:B10"/>
    <mergeCell ref="A11:A12"/>
    <mergeCell ref="B11:B12"/>
  </mergeCells>
  <pageMargins left="0.70866141732283472" right="0.70866141732283472" top="0.74803149606299213" bottom="0.74803149606299213" header="0.31496062992125984" footer="0.31496062992125984"/>
  <pageSetup paperSize="9" firstPageNumber="22" orientation="landscape" useFirstPageNumber="1" verticalDpi="0" r:id="rId1"/>
  <headerFooter>
    <oddFooter>&amp;RСтраница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I51"/>
  <sheetViews>
    <sheetView view="pageBreakPreview" topLeftCell="A28" zoomScale="85" zoomScaleSheetLayoutView="85" workbookViewId="0">
      <selection activeCell="E46" sqref="E46"/>
    </sheetView>
  </sheetViews>
  <sheetFormatPr defaultRowHeight="15"/>
  <cols>
    <col min="1" max="1" width="4" style="9" customWidth="1"/>
    <col min="2" max="2" width="35.28515625" customWidth="1"/>
    <col min="3" max="3" width="25.7109375" customWidth="1"/>
    <col min="4" max="9" width="10.7109375" customWidth="1"/>
  </cols>
  <sheetData>
    <row r="1" spans="1:9" ht="18.75">
      <c r="A1" s="106" t="s">
        <v>68</v>
      </c>
      <c r="B1" s="106"/>
      <c r="C1" s="106"/>
      <c r="D1" s="106"/>
      <c r="E1" s="106"/>
      <c r="F1" s="106"/>
      <c r="G1" s="106"/>
      <c r="H1" s="106"/>
      <c r="I1" s="106"/>
    </row>
    <row r="2" spans="1:9" s="10" customFormat="1" ht="15.75">
      <c r="A2" s="17"/>
      <c r="B2" s="17"/>
      <c r="C2" s="17"/>
      <c r="D2" s="17"/>
      <c r="E2" s="17"/>
      <c r="F2" s="17"/>
      <c r="G2" s="17"/>
      <c r="H2" s="17"/>
      <c r="I2" s="24" t="s">
        <v>31</v>
      </c>
    </row>
    <row r="3" spans="1:9" ht="15" customHeight="1">
      <c r="A3" s="132" t="s">
        <v>0</v>
      </c>
      <c r="B3" s="130" t="s">
        <v>32</v>
      </c>
      <c r="C3" s="130" t="s">
        <v>33</v>
      </c>
      <c r="D3" s="130"/>
      <c r="E3" s="130"/>
      <c r="F3" s="130"/>
      <c r="G3" s="130"/>
      <c r="H3" s="130"/>
      <c r="I3" s="130"/>
    </row>
    <row r="4" spans="1:9" ht="15" customHeight="1">
      <c r="A4" s="132"/>
      <c r="B4" s="130"/>
      <c r="C4" s="130"/>
      <c r="D4" s="130" t="s">
        <v>18</v>
      </c>
      <c r="E4" s="130" t="s">
        <v>85</v>
      </c>
      <c r="F4" s="130"/>
      <c r="G4" s="130"/>
      <c r="H4" s="130"/>
      <c r="I4" s="130"/>
    </row>
    <row r="5" spans="1:9" ht="15.75">
      <c r="A5" s="132"/>
      <c r="B5" s="130"/>
      <c r="C5" s="130"/>
      <c r="D5" s="130"/>
      <c r="E5" s="38" t="s">
        <v>19</v>
      </c>
      <c r="F5" s="38" t="s">
        <v>4</v>
      </c>
      <c r="G5" s="38" t="s">
        <v>5</v>
      </c>
      <c r="H5" s="38" t="s">
        <v>6</v>
      </c>
      <c r="I5" s="38" t="s">
        <v>7</v>
      </c>
    </row>
    <row r="6" spans="1:9" s="6" customFormat="1" ht="15.75">
      <c r="A6" s="39">
        <v>1</v>
      </c>
      <c r="B6" s="40">
        <v>2</v>
      </c>
      <c r="C6" s="40">
        <v>3</v>
      </c>
      <c r="D6" s="40">
        <v>4</v>
      </c>
      <c r="E6" s="40">
        <v>5</v>
      </c>
      <c r="F6" s="40">
        <v>6</v>
      </c>
      <c r="G6" s="40">
        <v>7</v>
      </c>
      <c r="H6" s="40">
        <v>8</v>
      </c>
      <c r="I6" s="40">
        <v>9</v>
      </c>
    </row>
    <row r="7" spans="1:9" ht="47.25">
      <c r="A7" s="113" t="s">
        <v>8</v>
      </c>
      <c r="B7" s="131" t="s">
        <v>95</v>
      </c>
      <c r="C7" s="41" t="s">
        <v>34</v>
      </c>
      <c r="D7" s="42">
        <f>SUM(E7:I7)</f>
        <v>39783.699999999997</v>
      </c>
      <c r="E7" s="42">
        <f>'Таблица 2'!E9</f>
        <v>0</v>
      </c>
      <c r="F7" s="42">
        <f>'Таблица 2'!F9</f>
        <v>5590.4</v>
      </c>
      <c r="G7" s="42">
        <f>'Таблица 2'!G9</f>
        <v>12512.7</v>
      </c>
      <c r="H7" s="42">
        <f>'Таблица 2'!H9</f>
        <v>13018</v>
      </c>
      <c r="I7" s="42">
        <f>'Таблица 2'!I9</f>
        <v>8662.6</v>
      </c>
    </row>
    <row r="8" spans="1:9" ht="31.5">
      <c r="A8" s="113"/>
      <c r="B8" s="131"/>
      <c r="C8" s="31" t="s">
        <v>35</v>
      </c>
      <c r="D8" s="42"/>
      <c r="E8" s="42"/>
      <c r="F8" s="42"/>
      <c r="G8" s="42"/>
      <c r="H8" s="42"/>
      <c r="I8" s="42"/>
    </row>
    <row r="9" spans="1:9" ht="15.75">
      <c r="A9" s="113"/>
      <c r="B9" s="131"/>
      <c r="C9" s="43" t="s">
        <v>36</v>
      </c>
      <c r="D9" s="44">
        <f>SUM(E9:I9)</f>
        <v>26456.1</v>
      </c>
      <c r="E9" s="44">
        <f>ROUND(E7*0.7*0.95,1)</f>
        <v>0</v>
      </c>
      <c r="F9" s="44">
        <f>ROUND(F7*0.7*0.95,1)</f>
        <v>3717.6</v>
      </c>
      <c r="G9" s="44">
        <f t="shared" ref="G9:I9" si="0">ROUND(G7*0.7*0.95,1)</f>
        <v>8320.9</v>
      </c>
      <c r="H9" s="44">
        <f t="shared" si="0"/>
        <v>8657</v>
      </c>
      <c r="I9" s="44">
        <f t="shared" si="0"/>
        <v>5760.6</v>
      </c>
    </row>
    <row r="10" spans="1:9" ht="31.5">
      <c r="A10" s="113"/>
      <c r="B10" s="131"/>
      <c r="C10" s="43" t="s">
        <v>37</v>
      </c>
      <c r="D10" s="44">
        <f>SUM(E10:I10)</f>
        <v>1392.3999999999999</v>
      </c>
      <c r="E10" s="44">
        <f>ROUND(E7*0.7*0.05,1)</f>
        <v>0</v>
      </c>
      <c r="F10" s="44">
        <f>ROUND(F7*0.7*0.05,1)</f>
        <v>195.7</v>
      </c>
      <c r="G10" s="44">
        <f t="shared" ref="G10:I10" si="1">ROUND(G7*0.7*0.05,1)</f>
        <v>437.9</v>
      </c>
      <c r="H10" s="44">
        <f t="shared" si="1"/>
        <v>455.6</v>
      </c>
      <c r="I10" s="44">
        <f t="shared" si="1"/>
        <v>303.2</v>
      </c>
    </row>
    <row r="11" spans="1:9" ht="15.75">
      <c r="A11" s="113"/>
      <c r="B11" s="131"/>
      <c r="C11" s="43" t="s">
        <v>38</v>
      </c>
      <c r="D11" s="44">
        <f t="shared" ref="D11:D12" si="2">SUM(E11:I11)</f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</row>
    <row r="12" spans="1:9" ht="15.75">
      <c r="A12" s="113"/>
      <c r="B12" s="131"/>
      <c r="C12" s="43" t="s">
        <v>39</v>
      </c>
      <c r="D12" s="44">
        <f t="shared" si="2"/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</row>
    <row r="13" spans="1:9" ht="31.5">
      <c r="A13" s="113"/>
      <c r="B13" s="131"/>
      <c r="C13" s="43" t="s">
        <v>40</v>
      </c>
      <c r="D13" s="44">
        <f>SUM(E13:I13)</f>
        <v>11935.2</v>
      </c>
      <c r="E13" s="44">
        <f>E7-E9-E10</f>
        <v>0</v>
      </c>
      <c r="F13" s="44">
        <f t="shared" ref="F13:I13" si="3">F7-F9-F10</f>
        <v>1677.0999999999997</v>
      </c>
      <c r="G13" s="44">
        <f t="shared" si="3"/>
        <v>3753.900000000001</v>
      </c>
      <c r="H13" s="44">
        <f t="shared" si="3"/>
        <v>3905.4</v>
      </c>
      <c r="I13" s="44">
        <f t="shared" si="3"/>
        <v>2598.8000000000002</v>
      </c>
    </row>
    <row r="14" spans="1:9" ht="47.25">
      <c r="A14" s="113" t="s">
        <v>12</v>
      </c>
      <c r="B14" s="131" t="s">
        <v>146</v>
      </c>
      <c r="C14" s="41" t="s">
        <v>34</v>
      </c>
      <c r="D14" s="42">
        <f>SUM(E14:I14)</f>
        <v>5000</v>
      </c>
      <c r="E14" s="42">
        <f>'Таблица 3'!E16</f>
        <v>0</v>
      </c>
      <c r="F14" s="42">
        <f>'Таблица 3'!F16</f>
        <v>5000</v>
      </c>
      <c r="G14" s="42">
        <f>'Таблица 3'!G16</f>
        <v>0</v>
      </c>
      <c r="H14" s="42">
        <f>'Таблица 3'!H16</f>
        <v>0</v>
      </c>
      <c r="I14" s="42">
        <f>'Таблица 3'!I16</f>
        <v>0</v>
      </c>
    </row>
    <row r="15" spans="1:9" ht="31.5">
      <c r="A15" s="113"/>
      <c r="B15" s="131"/>
      <c r="C15" s="31" t="s">
        <v>35</v>
      </c>
      <c r="D15" s="42"/>
      <c r="E15" s="42"/>
      <c r="F15" s="42"/>
      <c r="G15" s="42"/>
      <c r="H15" s="42"/>
      <c r="I15" s="42"/>
    </row>
    <row r="16" spans="1:9" ht="15.75">
      <c r="A16" s="113"/>
      <c r="B16" s="131"/>
      <c r="C16" s="43" t="s">
        <v>36</v>
      </c>
      <c r="D16" s="44">
        <f t="shared" ref="D16:D20" si="4">SUM(E16:I16)</f>
        <v>4745.2</v>
      </c>
      <c r="E16" s="44">
        <f t="shared" ref="E16:I16" si="5">ROUND((E14-E18)*0.95,1)</f>
        <v>0</v>
      </c>
      <c r="F16" s="44">
        <f>ROUND((F14-F18)*0.95,1)-0.1</f>
        <v>4745.2</v>
      </c>
      <c r="G16" s="44">
        <f t="shared" si="5"/>
        <v>0</v>
      </c>
      <c r="H16" s="44">
        <f t="shared" si="5"/>
        <v>0</v>
      </c>
      <c r="I16" s="44">
        <f t="shared" si="5"/>
        <v>0</v>
      </c>
    </row>
    <row r="17" spans="1:9" ht="31.5">
      <c r="A17" s="113"/>
      <c r="B17" s="131"/>
      <c r="C17" s="43" t="s">
        <v>37</v>
      </c>
      <c r="D17" s="44">
        <f t="shared" si="4"/>
        <v>249.8</v>
      </c>
      <c r="E17" s="44">
        <f>ROUND((E14-E18)*0.05,1)</f>
        <v>0</v>
      </c>
      <c r="F17" s="44">
        <f t="shared" ref="F17:I17" si="6">ROUND((F14-F18)*0.05,1)</f>
        <v>249.8</v>
      </c>
      <c r="G17" s="44">
        <f t="shared" si="6"/>
        <v>0</v>
      </c>
      <c r="H17" s="44">
        <f t="shared" si="6"/>
        <v>0</v>
      </c>
      <c r="I17" s="44">
        <f t="shared" si="6"/>
        <v>0</v>
      </c>
    </row>
    <row r="18" spans="1:9" ht="15.75">
      <c r="A18" s="113"/>
      <c r="B18" s="131"/>
      <c r="C18" s="43" t="s">
        <v>38</v>
      </c>
      <c r="D18" s="44">
        <f t="shared" si="4"/>
        <v>5</v>
      </c>
      <c r="E18" s="44">
        <f>ROUND(E14*0.1%,1)</f>
        <v>0</v>
      </c>
      <c r="F18" s="44">
        <f t="shared" ref="F18:I18" si="7">ROUND(F14*0.1%,1)</f>
        <v>5</v>
      </c>
      <c r="G18" s="44">
        <f t="shared" si="7"/>
        <v>0</v>
      </c>
      <c r="H18" s="44">
        <f t="shared" si="7"/>
        <v>0</v>
      </c>
      <c r="I18" s="44">
        <f t="shared" si="7"/>
        <v>0</v>
      </c>
    </row>
    <row r="19" spans="1:9" ht="15.75">
      <c r="A19" s="113"/>
      <c r="B19" s="131"/>
      <c r="C19" s="43" t="s">
        <v>39</v>
      </c>
      <c r="D19" s="44">
        <f t="shared" si="4"/>
        <v>0</v>
      </c>
      <c r="E19" s="44">
        <v>0</v>
      </c>
      <c r="F19" s="44">
        <v>0</v>
      </c>
      <c r="G19" s="44">
        <v>0</v>
      </c>
      <c r="H19" s="44">
        <v>0</v>
      </c>
      <c r="I19" s="44">
        <v>0</v>
      </c>
    </row>
    <row r="20" spans="1:9" ht="31.5">
      <c r="A20" s="113"/>
      <c r="B20" s="131"/>
      <c r="C20" s="43" t="s">
        <v>40</v>
      </c>
      <c r="D20" s="44">
        <f t="shared" si="4"/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</row>
    <row r="21" spans="1:9" ht="47.25">
      <c r="A21" s="113" t="s">
        <v>14</v>
      </c>
      <c r="B21" s="131" t="s">
        <v>147</v>
      </c>
      <c r="C21" s="41" t="s">
        <v>34</v>
      </c>
      <c r="D21" s="42">
        <f>SUM(E21:I21)</f>
        <v>3516.8</v>
      </c>
      <c r="E21" s="42">
        <f>SUM(E23:E27)</f>
        <v>723.9</v>
      </c>
      <c r="F21" s="42">
        <f t="shared" ref="F21:I21" si="8">SUM(F23:F27)</f>
        <v>2792.9</v>
      </c>
      <c r="G21" s="42">
        <f t="shared" si="8"/>
        <v>0</v>
      </c>
      <c r="H21" s="42">
        <f t="shared" si="8"/>
        <v>0</v>
      </c>
      <c r="I21" s="42">
        <f t="shared" si="8"/>
        <v>0</v>
      </c>
    </row>
    <row r="22" spans="1:9" ht="31.5">
      <c r="A22" s="113"/>
      <c r="B22" s="131"/>
      <c r="C22" s="31" t="s">
        <v>35</v>
      </c>
      <c r="D22" s="42"/>
      <c r="E22" s="42"/>
      <c r="F22" s="42"/>
      <c r="G22" s="42"/>
      <c r="H22" s="42"/>
      <c r="I22" s="42"/>
    </row>
    <row r="23" spans="1:9" ht="15.75">
      <c r="A23" s="113"/>
      <c r="B23" s="131"/>
      <c r="C23" s="43" t="s">
        <v>36</v>
      </c>
      <c r="D23" s="44">
        <f t="shared" ref="D23:D27" si="9">SUM(E23:I23)</f>
        <v>2416.9</v>
      </c>
      <c r="E23" s="44">
        <f>'БУСТ 2020'!G14</f>
        <v>481.40000000000003</v>
      </c>
      <c r="F23" s="44">
        <f>'БУСТ 2021'!G12</f>
        <v>1935.5</v>
      </c>
      <c r="G23" s="44">
        <v>0</v>
      </c>
      <c r="H23" s="44">
        <v>0</v>
      </c>
      <c r="I23" s="44">
        <v>0</v>
      </c>
    </row>
    <row r="24" spans="1:9" ht="31.5">
      <c r="A24" s="113"/>
      <c r="B24" s="131"/>
      <c r="C24" s="43" t="s">
        <v>37</v>
      </c>
      <c r="D24" s="44">
        <f t="shared" si="9"/>
        <v>44.7</v>
      </c>
      <c r="E24" s="44">
        <f>'БУСТ 2020'!H14</f>
        <v>25.3</v>
      </c>
      <c r="F24" s="44">
        <f>'БУСТ 2021'!H12</f>
        <v>19.400000000000002</v>
      </c>
      <c r="G24" s="44">
        <v>0</v>
      </c>
      <c r="H24" s="44">
        <v>0</v>
      </c>
      <c r="I24" s="44">
        <v>0</v>
      </c>
    </row>
    <row r="25" spans="1:9" ht="15.75">
      <c r="A25" s="113"/>
      <c r="B25" s="131"/>
      <c r="C25" s="43" t="s">
        <v>38</v>
      </c>
      <c r="D25" s="44">
        <f t="shared" si="9"/>
        <v>175.89999999999998</v>
      </c>
      <c r="E25" s="44">
        <f>'БУСТ 2020'!I14</f>
        <v>36.299999999999997</v>
      </c>
      <c r="F25" s="44">
        <f>'БУСТ 2021'!I12</f>
        <v>139.6</v>
      </c>
      <c r="G25" s="44">
        <v>0</v>
      </c>
      <c r="H25" s="44">
        <v>0</v>
      </c>
      <c r="I25" s="44">
        <v>0</v>
      </c>
    </row>
    <row r="26" spans="1:9" ht="15.75">
      <c r="A26" s="113"/>
      <c r="B26" s="131"/>
      <c r="C26" s="43" t="s">
        <v>39</v>
      </c>
      <c r="D26" s="44">
        <f t="shared" si="9"/>
        <v>0</v>
      </c>
      <c r="E26" s="44">
        <f>'БУСТ 2020'!J14</f>
        <v>0</v>
      </c>
      <c r="F26" s="44">
        <f>'БУСТ 2021'!J12</f>
        <v>0</v>
      </c>
      <c r="G26" s="44">
        <v>0</v>
      </c>
      <c r="H26" s="44">
        <v>0</v>
      </c>
      <c r="I26" s="44">
        <v>0</v>
      </c>
    </row>
    <row r="27" spans="1:9" ht="31.5">
      <c r="A27" s="113"/>
      <c r="B27" s="131"/>
      <c r="C27" s="43" t="s">
        <v>40</v>
      </c>
      <c r="D27" s="44">
        <f t="shared" si="9"/>
        <v>879.3</v>
      </c>
      <c r="E27" s="44">
        <f>'БУСТ 2020'!K14</f>
        <v>180.9</v>
      </c>
      <c r="F27" s="44">
        <f>'БУСТ 2021'!K12</f>
        <v>698.4</v>
      </c>
      <c r="G27" s="44">
        <v>0</v>
      </c>
      <c r="H27" s="44">
        <v>0</v>
      </c>
      <c r="I27" s="44">
        <v>0</v>
      </c>
    </row>
    <row r="28" spans="1:9" ht="47.25">
      <c r="A28" s="113" t="s">
        <v>42</v>
      </c>
      <c r="B28" s="131" t="s">
        <v>148</v>
      </c>
      <c r="C28" s="41" t="s">
        <v>34</v>
      </c>
      <c r="D28" s="42">
        <f>SUM(E28:I28)</f>
        <v>156</v>
      </c>
      <c r="E28" s="42">
        <f>'Таблица 5'!E7</f>
        <v>156</v>
      </c>
      <c r="F28" s="42">
        <f>'Таблица 5'!F7</f>
        <v>0</v>
      </c>
      <c r="G28" s="42">
        <f>'Таблица 5'!G7</f>
        <v>0</v>
      </c>
      <c r="H28" s="42">
        <f>'Таблица 5'!H7</f>
        <v>0</v>
      </c>
      <c r="I28" s="42">
        <f>'Таблица 5'!I7</f>
        <v>0</v>
      </c>
    </row>
    <row r="29" spans="1:9" ht="31.5">
      <c r="A29" s="113"/>
      <c r="B29" s="131"/>
      <c r="C29" s="31" t="s">
        <v>35</v>
      </c>
      <c r="D29" s="42"/>
      <c r="E29" s="42"/>
      <c r="F29" s="42"/>
      <c r="G29" s="42"/>
      <c r="H29" s="42"/>
      <c r="I29" s="42"/>
    </row>
    <row r="30" spans="1:9" ht="15.75">
      <c r="A30" s="113"/>
      <c r="B30" s="131"/>
      <c r="C30" s="43" t="s">
        <v>36</v>
      </c>
      <c r="D30" s="44">
        <f t="shared" ref="D30:D34" si="10">SUM(E30:I30)</f>
        <v>0</v>
      </c>
      <c r="E30" s="44">
        <f>'СОСТ 2020'!G11</f>
        <v>0</v>
      </c>
      <c r="F30" s="44">
        <f>ROUND((F28-F32-F33-F34)*0.99,1)</f>
        <v>0</v>
      </c>
      <c r="G30" s="44">
        <f t="shared" ref="G30:I30" si="11">ROUND((G28-G32-G33-G34)*0.99,1)</f>
        <v>0</v>
      </c>
      <c r="H30" s="44">
        <f t="shared" si="11"/>
        <v>0</v>
      </c>
      <c r="I30" s="44">
        <f t="shared" si="11"/>
        <v>0</v>
      </c>
    </row>
    <row r="31" spans="1:9" ht="31.5">
      <c r="A31" s="113"/>
      <c r="B31" s="131"/>
      <c r="C31" s="43" t="s">
        <v>37</v>
      </c>
      <c r="D31" s="44">
        <f t="shared" si="10"/>
        <v>0</v>
      </c>
      <c r="E31" s="44">
        <f>'СОСТ 2020'!H11</f>
        <v>0</v>
      </c>
      <c r="F31" s="44">
        <f>ROUND((F28-F32-F33-F34)*0.01,1)</f>
        <v>0</v>
      </c>
      <c r="G31" s="44">
        <f t="shared" ref="G31:I31" si="12">ROUND((G28-G32-G33-G34)*0.01,1)</f>
        <v>0</v>
      </c>
      <c r="H31" s="44">
        <f t="shared" si="12"/>
        <v>0</v>
      </c>
      <c r="I31" s="44">
        <f t="shared" si="12"/>
        <v>0</v>
      </c>
    </row>
    <row r="32" spans="1:9" ht="15.75">
      <c r="A32" s="113"/>
      <c r="B32" s="131"/>
      <c r="C32" s="43" t="s">
        <v>38</v>
      </c>
      <c r="D32" s="44">
        <f t="shared" si="10"/>
        <v>156</v>
      </c>
      <c r="E32" s="44">
        <v>156</v>
      </c>
      <c r="F32" s="44">
        <f>F28*5%</f>
        <v>0</v>
      </c>
      <c r="G32" s="44">
        <f>G28*5%</f>
        <v>0</v>
      </c>
      <c r="H32" s="44">
        <v>0</v>
      </c>
      <c r="I32" s="44">
        <v>0</v>
      </c>
    </row>
    <row r="33" spans="1:9" ht="15.75">
      <c r="A33" s="113"/>
      <c r="B33" s="131"/>
      <c r="C33" s="43" t="s">
        <v>39</v>
      </c>
      <c r="D33" s="44">
        <f t="shared" si="10"/>
        <v>0</v>
      </c>
      <c r="E33" s="44">
        <f>'СОСТ 2020'!J11</f>
        <v>0</v>
      </c>
      <c r="F33" s="44">
        <v>0</v>
      </c>
      <c r="G33" s="44">
        <v>0</v>
      </c>
      <c r="H33" s="44">
        <v>0</v>
      </c>
      <c r="I33" s="44">
        <v>0</v>
      </c>
    </row>
    <row r="34" spans="1:9" ht="31.5">
      <c r="A34" s="113"/>
      <c r="B34" s="131"/>
      <c r="C34" s="43" t="s">
        <v>40</v>
      </c>
      <c r="D34" s="44">
        <f t="shared" si="10"/>
        <v>0</v>
      </c>
      <c r="E34" s="44">
        <f>'СОСТ 2020'!K11</f>
        <v>0</v>
      </c>
      <c r="F34" s="44">
        <f t="shared" ref="F34" si="13">ROUND(F28*0.1,1)</f>
        <v>0</v>
      </c>
      <c r="G34" s="44">
        <f t="shared" ref="G34:I34" si="14">ROUND(G28*0.1,1)</f>
        <v>0</v>
      </c>
      <c r="H34" s="44">
        <f t="shared" si="14"/>
        <v>0</v>
      </c>
      <c r="I34" s="44">
        <f t="shared" si="14"/>
        <v>0</v>
      </c>
    </row>
    <row r="35" spans="1:9" ht="47.25">
      <c r="A35" s="113" t="s">
        <v>48</v>
      </c>
      <c r="B35" s="131" t="s">
        <v>43</v>
      </c>
      <c r="C35" s="41" t="s">
        <v>34</v>
      </c>
      <c r="D35" s="42">
        <f>SUM(D21,D14,D7,D28)</f>
        <v>48456.5</v>
      </c>
      <c r="E35" s="42">
        <f t="shared" ref="E35:I35" si="15">SUM(E21,E14,E7,E28)</f>
        <v>879.9</v>
      </c>
      <c r="F35" s="42">
        <f t="shared" si="15"/>
        <v>13383.3</v>
      </c>
      <c r="G35" s="42">
        <f t="shared" si="15"/>
        <v>12512.7</v>
      </c>
      <c r="H35" s="42">
        <f t="shared" si="15"/>
        <v>13018</v>
      </c>
      <c r="I35" s="42">
        <f t="shared" si="15"/>
        <v>8662.6</v>
      </c>
    </row>
    <row r="36" spans="1:9" ht="31.5">
      <c r="A36" s="113"/>
      <c r="B36" s="131"/>
      <c r="C36" s="31" t="s">
        <v>35</v>
      </c>
      <c r="D36" s="42"/>
      <c r="E36" s="42"/>
      <c r="F36" s="42"/>
      <c r="G36" s="42"/>
      <c r="H36" s="42"/>
      <c r="I36" s="42"/>
    </row>
    <row r="37" spans="1:9" ht="31.5">
      <c r="A37" s="113"/>
      <c r="B37" s="131"/>
      <c r="C37" s="45" t="s">
        <v>36</v>
      </c>
      <c r="D37" s="42">
        <f t="shared" ref="D37:I37" si="16">SUM(D23,D16,D9,D30)</f>
        <v>33618.199999999997</v>
      </c>
      <c r="E37" s="42">
        <f t="shared" si="16"/>
        <v>481.40000000000003</v>
      </c>
      <c r="F37" s="42">
        <f t="shared" si="16"/>
        <v>10398.299999999999</v>
      </c>
      <c r="G37" s="42">
        <f t="shared" si="16"/>
        <v>8320.9</v>
      </c>
      <c r="H37" s="42">
        <f t="shared" si="16"/>
        <v>8657</v>
      </c>
      <c r="I37" s="42">
        <f t="shared" si="16"/>
        <v>5760.6</v>
      </c>
    </row>
    <row r="38" spans="1:9" ht="31.5">
      <c r="A38" s="113"/>
      <c r="B38" s="131"/>
      <c r="C38" s="45" t="s">
        <v>37</v>
      </c>
      <c r="D38" s="42">
        <f t="shared" ref="D38:I38" si="17">SUM(D24,D17,D10,D31)</f>
        <v>1686.8999999999999</v>
      </c>
      <c r="E38" s="42">
        <f t="shared" si="17"/>
        <v>25.3</v>
      </c>
      <c r="F38" s="42">
        <f t="shared" si="17"/>
        <v>464.9</v>
      </c>
      <c r="G38" s="42">
        <f t="shared" si="17"/>
        <v>437.9</v>
      </c>
      <c r="H38" s="42">
        <f t="shared" si="17"/>
        <v>455.6</v>
      </c>
      <c r="I38" s="42">
        <f t="shared" si="17"/>
        <v>303.2</v>
      </c>
    </row>
    <row r="39" spans="1:9" ht="15.75">
      <c r="A39" s="113"/>
      <c r="B39" s="131"/>
      <c r="C39" s="45" t="s">
        <v>38</v>
      </c>
      <c r="D39" s="42">
        <f t="shared" ref="D39:I39" si="18">SUM(D25,D18,D11,D32)</f>
        <v>336.9</v>
      </c>
      <c r="E39" s="42">
        <f t="shared" si="18"/>
        <v>192.3</v>
      </c>
      <c r="F39" s="42">
        <f t="shared" si="18"/>
        <v>144.6</v>
      </c>
      <c r="G39" s="42">
        <f t="shared" si="18"/>
        <v>0</v>
      </c>
      <c r="H39" s="42">
        <f t="shared" si="18"/>
        <v>0</v>
      </c>
      <c r="I39" s="42">
        <f t="shared" si="18"/>
        <v>0</v>
      </c>
    </row>
    <row r="40" spans="1:9" ht="15.75">
      <c r="A40" s="113"/>
      <c r="B40" s="131"/>
      <c r="C40" s="45" t="s">
        <v>39</v>
      </c>
      <c r="D40" s="42">
        <f t="shared" ref="D40:I40" si="19">SUM(D26,D19,D12,D33)</f>
        <v>0</v>
      </c>
      <c r="E40" s="42">
        <f t="shared" si="19"/>
        <v>0</v>
      </c>
      <c r="F40" s="42">
        <f t="shared" si="19"/>
        <v>0</v>
      </c>
      <c r="G40" s="42">
        <f t="shared" si="19"/>
        <v>0</v>
      </c>
      <c r="H40" s="42">
        <f t="shared" si="19"/>
        <v>0</v>
      </c>
      <c r="I40" s="42">
        <f t="shared" si="19"/>
        <v>0</v>
      </c>
    </row>
    <row r="41" spans="1:9" ht="31.5">
      <c r="A41" s="113"/>
      <c r="B41" s="131"/>
      <c r="C41" s="45" t="s">
        <v>40</v>
      </c>
      <c r="D41" s="42">
        <f t="shared" ref="D41:I41" si="20">SUM(D27,D20,D13,D34)</f>
        <v>12814.5</v>
      </c>
      <c r="E41" s="42">
        <f t="shared" si="20"/>
        <v>180.9</v>
      </c>
      <c r="F41" s="42">
        <f t="shared" si="20"/>
        <v>2375.4999999999995</v>
      </c>
      <c r="G41" s="42">
        <f t="shared" si="20"/>
        <v>3753.900000000001</v>
      </c>
      <c r="H41" s="42">
        <f t="shared" si="20"/>
        <v>3905.4</v>
      </c>
      <c r="I41" s="42">
        <f t="shared" si="20"/>
        <v>2598.8000000000002</v>
      </c>
    </row>
    <row r="42" spans="1:9" ht="47.25">
      <c r="A42" s="113" t="s">
        <v>151</v>
      </c>
      <c r="B42" s="131" t="s">
        <v>152</v>
      </c>
      <c r="C42" s="77" t="s">
        <v>34</v>
      </c>
      <c r="D42" s="42">
        <f>D35-D7</f>
        <v>8672.8000000000029</v>
      </c>
      <c r="E42" s="42">
        <f t="shared" ref="E42:I42" si="21">E35-E7</f>
        <v>879.9</v>
      </c>
      <c r="F42" s="42">
        <f t="shared" si="21"/>
        <v>7792.9</v>
      </c>
      <c r="G42" s="42">
        <f t="shared" si="21"/>
        <v>0</v>
      </c>
      <c r="H42" s="42">
        <f t="shared" si="21"/>
        <v>0</v>
      </c>
      <c r="I42" s="42">
        <f t="shared" si="21"/>
        <v>0</v>
      </c>
    </row>
    <row r="43" spans="1:9" ht="31.5">
      <c r="A43" s="113"/>
      <c r="B43" s="131"/>
      <c r="C43" s="31" t="s">
        <v>35</v>
      </c>
      <c r="D43" s="42"/>
      <c r="E43" s="42"/>
      <c r="F43" s="42"/>
      <c r="G43" s="42"/>
      <c r="H43" s="42"/>
      <c r="I43" s="42"/>
    </row>
    <row r="44" spans="1:9" ht="31.5">
      <c r="A44" s="113"/>
      <c r="B44" s="131"/>
      <c r="C44" s="45" t="s">
        <v>36</v>
      </c>
      <c r="D44" s="42">
        <f t="shared" ref="D44:I44" si="22">D37-D9</f>
        <v>7162.0999999999985</v>
      </c>
      <c r="E44" s="42">
        <f t="shared" si="22"/>
        <v>481.40000000000003</v>
      </c>
      <c r="F44" s="42">
        <f t="shared" si="22"/>
        <v>6680.6999999999989</v>
      </c>
      <c r="G44" s="42">
        <f t="shared" si="22"/>
        <v>0</v>
      </c>
      <c r="H44" s="42">
        <f t="shared" si="22"/>
        <v>0</v>
      </c>
      <c r="I44" s="42">
        <f t="shared" si="22"/>
        <v>0</v>
      </c>
    </row>
    <row r="45" spans="1:9" ht="31.5">
      <c r="A45" s="113"/>
      <c r="B45" s="131"/>
      <c r="C45" s="45" t="s">
        <v>37</v>
      </c>
      <c r="D45" s="42">
        <f t="shared" ref="D45:I45" si="23">D38-D10</f>
        <v>294.5</v>
      </c>
      <c r="E45" s="42">
        <f t="shared" si="23"/>
        <v>25.3</v>
      </c>
      <c r="F45" s="42">
        <f t="shared" si="23"/>
        <v>269.2</v>
      </c>
      <c r="G45" s="42">
        <f t="shared" si="23"/>
        <v>0</v>
      </c>
      <c r="H45" s="42">
        <f t="shared" si="23"/>
        <v>0</v>
      </c>
      <c r="I45" s="42">
        <f t="shared" si="23"/>
        <v>0</v>
      </c>
    </row>
    <row r="46" spans="1:9" ht="15.75">
      <c r="A46" s="113"/>
      <c r="B46" s="131"/>
      <c r="C46" s="45" t="s">
        <v>38</v>
      </c>
      <c r="D46" s="42">
        <f t="shared" ref="D46:I46" si="24">D39-D11</f>
        <v>336.9</v>
      </c>
      <c r="E46" s="42">
        <f t="shared" si="24"/>
        <v>192.3</v>
      </c>
      <c r="F46" s="42">
        <f t="shared" si="24"/>
        <v>144.6</v>
      </c>
      <c r="G46" s="42">
        <f t="shared" si="24"/>
        <v>0</v>
      </c>
      <c r="H46" s="42">
        <f t="shared" si="24"/>
        <v>0</v>
      </c>
      <c r="I46" s="42">
        <f t="shared" si="24"/>
        <v>0</v>
      </c>
    </row>
    <row r="47" spans="1:9" ht="15.75">
      <c r="A47" s="113"/>
      <c r="B47" s="131"/>
      <c r="C47" s="45" t="s">
        <v>39</v>
      </c>
      <c r="D47" s="42">
        <f t="shared" ref="D47:I47" si="25">D40-D12</f>
        <v>0</v>
      </c>
      <c r="E47" s="42">
        <f t="shared" si="25"/>
        <v>0</v>
      </c>
      <c r="F47" s="42">
        <f t="shared" si="25"/>
        <v>0</v>
      </c>
      <c r="G47" s="42">
        <f t="shared" si="25"/>
        <v>0</v>
      </c>
      <c r="H47" s="42">
        <f t="shared" si="25"/>
        <v>0</v>
      </c>
      <c r="I47" s="42">
        <f t="shared" si="25"/>
        <v>0</v>
      </c>
    </row>
    <row r="48" spans="1:9" ht="31.5">
      <c r="A48" s="113"/>
      <c r="B48" s="131"/>
      <c r="C48" s="45" t="s">
        <v>40</v>
      </c>
      <c r="D48" s="42">
        <f t="shared" ref="D48:I48" si="26">D41-D13</f>
        <v>879.29999999999927</v>
      </c>
      <c r="E48" s="42">
        <f t="shared" si="26"/>
        <v>180.9</v>
      </c>
      <c r="F48" s="42">
        <f t="shared" si="26"/>
        <v>698.39999999999986</v>
      </c>
      <c r="G48" s="42">
        <f t="shared" si="26"/>
        <v>0</v>
      </c>
      <c r="H48" s="42">
        <f t="shared" si="26"/>
        <v>0</v>
      </c>
      <c r="I48" s="42">
        <f t="shared" si="26"/>
        <v>0</v>
      </c>
    </row>
    <row r="49" spans="1:8">
      <c r="A49" s="13" t="s">
        <v>44</v>
      </c>
      <c r="B49" s="11"/>
      <c r="C49" s="11"/>
      <c r="D49" s="11"/>
      <c r="E49" s="11"/>
      <c r="F49" s="11"/>
      <c r="G49" s="11"/>
      <c r="H49" s="11"/>
    </row>
    <row r="50" spans="1:8">
      <c r="A50" s="14" t="s">
        <v>45</v>
      </c>
      <c r="B50" s="12"/>
      <c r="C50" s="12"/>
      <c r="D50" s="12"/>
      <c r="E50" s="12"/>
      <c r="F50" s="12"/>
      <c r="G50" s="12"/>
      <c r="H50" s="12"/>
    </row>
    <row r="51" spans="1:8">
      <c r="A51" s="14" t="s">
        <v>46</v>
      </c>
      <c r="B51" s="12"/>
      <c r="C51" s="12"/>
      <c r="D51" s="12"/>
      <c r="E51" s="12"/>
      <c r="F51" s="12"/>
      <c r="G51" s="12"/>
      <c r="H51" s="12"/>
    </row>
  </sheetData>
  <mergeCells count="19">
    <mergeCell ref="A35:A41"/>
    <mergeCell ref="B35:B41"/>
    <mergeCell ref="A7:A13"/>
    <mergeCell ref="B7:B13"/>
    <mergeCell ref="A42:A48"/>
    <mergeCell ref="B42:B48"/>
    <mergeCell ref="E4:I4"/>
    <mergeCell ref="A1:I1"/>
    <mergeCell ref="A28:A34"/>
    <mergeCell ref="B28:B34"/>
    <mergeCell ref="A14:A20"/>
    <mergeCell ref="B14:B20"/>
    <mergeCell ref="A21:A27"/>
    <mergeCell ref="B21:B27"/>
    <mergeCell ref="A3:A5"/>
    <mergeCell ref="B3:B5"/>
    <mergeCell ref="C4:C5"/>
    <mergeCell ref="D4:D5"/>
    <mergeCell ref="C3:I3"/>
  </mergeCells>
  <pageMargins left="0.70866141732283472" right="0.70866141732283472" top="0.74803149606299213" bottom="0.74803149606299213" header="0.31496062992125984" footer="0.31496062992125984"/>
  <pageSetup paperSize="9" firstPageNumber="23" fitToHeight="3" orientation="landscape" useFirstPageNumber="1" verticalDpi="0" r:id="rId1"/>
  <headerFooter>
    <oddFooter>&amp;RСтраница &amp;P</oddFooter>
  </headerFooter>
  <rowBreaks count="2" manualBreakCount="2">
    <brk id="20" max="8" man="1"/>
    <brk id="34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"/>
  <sheetViews>
    <sheetView workbookViewId="0">
      <selection activeCell="B11" sqref="B11:B12"/>
    </sheetView>
  </sheetViews>
  <sheetFormatPr defaultRowHeight="15"/>
  <cols>
    <col min="1" max="1" width="16.7109375" style="5" customWidth="1"/>
    <col min="2" max="2" width="24.42578125" style="5" customWidth="1"/>
    <col min="3" max="3" width="24.28515625" style="5" customWidth="1"/>
    <col min="4" max="9" width="10.7109375" style="5" customWidth="1"/>
    <col min="10" max="16384" width="9.140625" style="5"/>
  </cols>
  <sheetData>
    <row r="1" spans="1:10" ht="18.75" customHeight="1">
      <c r="A1" s="106" t="s">
        <v>49</v>
      </c>
      <c r="B1" s="106"/>
      <c r="C1" s="106"/>
      <c r="D1" s="106"/>
      <c r="E1" s="106"/>
      <c r="F1" s="106"/>
      <c r="G1" s="106"/>
      <c r="H1" s="106"/>
      <c r="I1" s="106"/>
    </row>
    <row r="2" spans="1:10" s="47" customFormat="1" ht="15.75">
      <c r="A2" s="17"/>
      <c r="B2" s="17"/>
      <c r="C2" s="17"/>
      <c r="D2" s="17"/>
      <c r="E2" s="17"/>
      <c r="F2" s="17"/>
      <c r="G2" s="17"/>
      <c r="H2" s="46"/>
      <c r="I2" s="24" t="s">
        <v>47</v>
      </c>
      <c r="J2" s="4"/>
    </row>
    <row r="3" spans="1:10" ht="90" customHeight="1">
      <c r="A3" s="101" t="s">
        <v>50</v>
      </c>
      <c r="B3" s="101" t="s">
        <v>100</v>
      </c>
      <c r="C3" s="101" t="s">
        <v>51</v>
      </c>
      <c r="D3" s="110" t="s">
        <v>18</v>
      </c>
      <c r="E3" s="120" t="s">
        <v>85</v>
      </c>
      <c r="F3" s="121"/>
      <c r="G3" s="121"/>
      <c r="H3" s="121"/>
      <c r="I3" s="122"/>
    </row>
    <row r="4" spans="1:10" ht="37.5" customHeight="1">
      <c r="A4" s="101"/>
      <c r="B4" s="101"/>
      <c r="C4" s="101"/>
      <c r="D4" s="111"/>
      <c r="E4" s="21" t="s">
        <v>19</v>
      </c>
      <c r="F4" s="21" t="s">
        <v>4</v>
      </c>
      <c r="G4" s="21" t="s">
        <v>5</v>
      </c>
      <c r="H4" s="21" t="s">
        <v>6</v>
      </c>
      <c r="I4" s="21" t="s">
        <v>7</v>
      </c>
    </row>
    <row r="5" spans="1:10" ht="15.75">
      <c r="A5" s="133" t="s">
        <v>171</v>
      </c>
      <c r="B5" s="133" t="s">
        <v>96</v>
      </c>
      <c r="C5" s="34" t="s">
        <v>52</v>
      </c>
      <c r="D5" s="57">
        <f>SUM(E5:I5)</f>
        <v>336.9</v>
      </c>
      <c r="E5" s="57">
        <f>'Таблица 6'!E39</f>
        <v>192.3</v>
      </c>
      <c r="F5" s="57">
        <f>'Таблица 6'!F39</f>
        <v>144.6</v>
      </c>
      <c r="G5" s="57">
        <f>'Таблица 6'!G39</f>
        <v>0</v>
      </c>
      <c r="H5" s="57">
        <f>'Таблица 6'!H39</f>
        <v>0</v>
      </c>
      <c r="I5" s="57">
        <f>'Таблица 6'!I39</f>
        <v>0</v>
      </c>
    </row>
    <row r="6" spans="1:10" ht="63">
      <c r="A6" s="133"/>
      <c r="B6" s="133"/>
      <c r="C6" s="34" t="s">
        <v>97</v>
      </c>
      <c r="D6" s="57">
        <f>SUM(E6:I6)</f>
        <v>336.9</v>
      </c>
      <c r="E6" s="57">
        <f t="shared" ref="E6:I6" si="0">E5</f>
        <v>192.3</v>
      </c>
      <c r="F6" s="57">
        <f t="shared" si="0"/>
        <v>144.6</v>
      </c>
      <c r="G6" s="57">
        <f t="shared" si="0"/>
        <v>0</v>
      </c>
      <c r="H6" s="57">
        <f t="shared" si="0"/>
        <v>0</v>
      </c>
      <c r="I6" s="57">
        <f t="shared" si="0"/>
        <v>0</v>
      </c>
    </row>
    <row r="7" spans="1:10" ht="75">
      <c r="A7" s="36"/>
      <c r="B7" s="62" t="str">
        <f>'Таблица 6'!B7</f>
        <v>Создание условий для обеспечения доступным и комфортным жильем сельского населения Куменского района</v>
      </c>
      <c r="C7" s="61"/>
      <c r="D7" s="57">
        <f>SUM(E7:I7)</f>
        <v>0</v>
      </c>
      <c r="E7" s="57">
        <f>'Таблица 6'!E11</f>
        <v>0</v>
      </c>
      <c r="F7" s="57">
        <f>'Таблица 6'!F11</f>
        <v>0</v>
      </c>
      <c r="G7" s="57">
        <f>'Таблица 6'!G11</f>
        <v>0</v>
      </c>
      <c r="H7" s="57">
        <f>'Таблица 6'!H11</f>
        <v>0</v>
      </c>
      <c r="I7" s="57">
        <f>'Таблица 6'!I11</f>
        <v>0</v>
      </c>
    </row>
    <row r="8" spans="1:10" ht="60">
      <c r="A8" s="36"/>
      <c r="B8" s="62" t="str">
        <f>'Таблица 6'!B14</f>
        <v>Развитие транспортной инфраструктуры на сельских территориях Куменского района</v>
      </c>
      <c r="C8" s="61"/>
      <c r="D8" s="57">
        <f t="shared" ref="D8:D10" si="1">SUM(E8:I8)</f>
        <v>5</v>
      </c>
      <c r="E8" s="57">
        <f>'Таблица 6'!E18</f>
        <v>0</v>
      </c>
      <c r="F8" s="57">
        <f>'Таблица 6'!F18</f>
        <v>5</v>
      </c>
      <c r="G8" s="57">
        <f>'Таблица 6'!G18</f>
        <v>0</v>
      </c>
      <c r="H8" s="57">
        <f>'Таблица 6'!H18</f>
        <v>0</v>
      </c>
      <c r="I8" s="57">
        <f>'Таблица 6'!I18</f>
        <v>0</v>
      </c>
    </row>
    <row r="9" spans="1:10" ht="45">
      <c r="A9" s="36"/>
      <c r="B9" s="62" t="str">
        <f>'Таблица 6'!B21</f>
        <v>Благоустройство сельских территорий Куменского района</v>
      </c>
      <c r="C9" s="36"/>
      <c r="D9" s="57">
        <f t="shared" si="1"/>
        <v>175.89999999999998</v>
      </c>
      <c r="E9" s="57">
        <f>'Таблица 6'!E25</f>
        <v>36.299999999999997</v>
      </c>
      <c r="F9" s="57">
        <f>'Таблица 6'!F25</f>
        <v>139.6</v>
      </c>
      <c r="G9" s="57">
        <f>'Таблица 6'!G25</f>
        <v>0</v>
      </c>
      <c r="H9" s="57">
        <f>'Таблица 6'!H25</f>
        <v>0</v>
      </c>
      <c r="I9" s="57">
        <f>'Таблица 6'!I25</f>
        <v>0</v>
      </c>
    </row>
    <row r="10" spans="1:10" ht="45">
      <c r="A10" s="36"/>
      <c r="B10" s="62" t="str">
        <f>'Таблица 6'!B28</f>
        <v>Современный облик сельских территорий Куменского района</v>
      </c>
      <c r="C10" s="36"/>
      <c r="D10" s="57">
        <f t="shared" si="1"/>
        <v>156</v>
      </c>
      <c r="E10" s="57">
        <f>'Таблица 6'!E32</f>
        <v>156</v>
      </c>
      <c r="F10" s="57">
        <f>'Таблица 6'!F32</f>
        <v>0</v>
      </c>
      <c r="G10" s="57">
        <f>'Таблица 6'!G32</f>
        <v>0</v>
      </c>
      <c r="H10" s="57">
        <f>'Таблица 6'!H32</f>
        <v>0</v>
      </c>
      <c r="I10" s="57">
        <f>'Таблица 6'!I32</f>
        <v>0</v>
      </c>
    </row>
  </sheetData>
  <mergeCells count="8">
    <mergeCell ref="A5:A6"/>
    <mergeCell ref="B5:B6"/>
    <mergeCell ref="A1:I1"/>
    <mergeCell ref="E3:I3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firstPageNumber="26" orientation="landscape" useFirstPageNumber="1" verticalDpi="0" r:id="rId1"/>
  <headerFooter>
    <oddFooter>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"/>
  <sheetViews>
    <sheetView tabSelected="1" workbookViewId="0">
      <selection activeCell="B11" sqref="B11:B12"/>
    </sheetView>
  </sheetViews>
  <sheetFormatPr defaultRowHeight="15"/>
  <cols>
    <col min="1" max="1" width="15.5703125" style="5" customWidth="1"/>
    <col min="2" max="2" width="21.7109375" style="5" customWidth="1"/>
    <col min="3" max="3" width="29" style="5" customWidth="1"/>
    <col min="4" max="9" width="10.7109375" style="5" customWidth="1"/>
    <col min="10" max="16384" width="9.140625" style="5"/>
  </cols>
  <sheetData>
    <row r="1" spans="1:10" ht="35.1" customHeight="1">
      <c r="A1" s="106" t="s">
        <v>55</v>
      </c>
      <c r="B1" s="106"/>
      <c r="C1" s="106"/>
      <c r="D1" s="106"/>
      <c r="E1" s="106"/>
      <c r="F1" s="106"/>
      <c r="G1" s="106"/>
      <c r="H1" s="106"/>
      <c r="I1" s="106"/>
    </row>
    <row r="2" spans="1:10" s="47" customFormat="1" ht="15.75">
      <c r="A2" s="17"/>
      <c r="B2" s="17"/>
      <c r="C2" s="17"/>
      <c r="D2" s="17"/>
      <c r="E2" s="17"/>
      <c r="F2" s="17"/>
      <c r="G2" s="17"/>
      <c r="H2" s="46"/>
      <c r="I2" s="24" t="s">
        <v>53</v>
      </c>
      <c r="J2" s="4"/>
    </row>
    <row r="3" spans="1:10" ht="15.75">
      <c r="A3" s="101" t="s">
        <v>50</v>
      </c>
      <c r="B3" s="101" t="s">
        <v>100</v>
      </c>
      <c r="C3" s="101" t="s">
        <v>56</v>
      </c>
      <c r="D3" s="110" t="s">
        <v>18</v>
      </c>
      <c r="E3" s="101" t="s">
        <v>85</v>
      </c>
      <c r="F3" s="101"/>
      <c r="G3" s="101"/>
      <c r="H3" s="101"/>
      <c r="I3" s="101"/>
    </row>
    <row r="4" spans="1:10" ht="15.75">
      <c r="A4" s="101"/>
      <c r="B4" s="101"/>
      <c r="C4" s="101"/>
      <c r="D4" s="111"/>
      <c r="E4" s="21" t="s">
        <v>19</v>
      </c>
      <c r="F4" s="21" t="s">
        <v>4</v>
      </c>
      <c r="G4" s="21" t="s">
        <v>5</v>
      </c>
      <c r="H4" s="21" t="s">
        <v>6</v>
      </c>
      <c r="I4" s="21" t="s">
        <v>7</v>
      </c>
    </row>
    <row r="5" spans="1:10" ht="15.75">
      <c r="A5" s="133" t="s">
        <v>171</v>
      </c>
      <c r="B5" s="133" t="s">
        <v>96</v>
      </c>
      <c r="C5" s="34" t="s">
        <v>52</v>
      </c>
      <c r="D5" s="57">
        <f>SUM(E5:I5)</f>
        <v>48456.5</v>
      </c>
      <c r="E5" s="57">
        <f>'Таблица 6'!E35</f>
        <v>879.9</v>
      </c>
      <c r="F5" s="57">
        <f>'Таблица 6'!F35</f>
        <v>13383.3</v>
      </c>
      <c r="G5" s="57">
        <f>'Таблица 6'!G35</f>
        <v>12512.7</v>
      </c>
      <c r="H5" s="57">
        <f>'Таблица 6'!H35</f>
        <v>13018</v>
      </c>
      <c r="I5" s="57">
        <f>'Таблица 6'!I35</f>
        <v>8662.6</v>
      </c>
    </row>
    <row r="6" spans="1:10" ht="15.75">
      <c r="A6" s="133"/>
      <c r="B6" s="133"/>
      <c r="C6" s="43" t="s">
        <v>36</v>
      </c>
      <c r="D6" s="57">
        <f t="shared" ref="D6:D10" si="0">SUM(E6:I6)</f>
        <v>33618.199999999997</v>
      </c>
      <c r="E6" s="57">
        <f>'Таблица 6'!E37</f>
        <v>481.40000000000003</v>
      </c>
      <c r="F6" s="57">
        <f>'Таблица 6'!F37</f>
        <v>10398.299999999999</v>
      </c>
      <c r="G6" s="57">
        <f>'Таблица 6'!G37</f>
        <v>8320.9</v>
      </c>
      <c r="H6" s="57">
        <f>'Таблица 6'!H37</f>
        <v>8657</v>
      </c>
      <c r="I6" s="57">
        <f>'Таблица 6'!I37</f>
        <v>5760.6</v>
      </c>
    </row>
    <row r="7" spans="1:10" ht="15.75">
      <c r="A7" s="133"/>
      <c r="B7" s="133"/>
      <c r="C7" s="43" t="s">
        <v>37</v>
      </c>
      <c r="D7" s="57">
        <f t="shared" si="0"/>
        <v>1686.8999999999999</v>
      </c>
      <c r="E7" s="57">
        <f>'Таблица 6'!E38</f>
        <v>25.3</v>
      </c>
      <c r="F7" s="57">
        <f>'Таблица 6'!F38</f>
        <v>464.9</v>
      </c>
      <c r="G7" s="57">
        <f>'Таблица 6'!G38</f>
        <v>437.9</v>
      </c>
      <c r="H7" s="57">
        <f>'Таблица 6'!H38</f>
        <v>455.6</v>
      </c>
      <c r="I7" s="57">
        <f>'Таблица 6'!I38</f>
        <v>303.2</v>
      </c>
    </row>
    <row r="8" spans="1:10" ht="15.75">
      <c r="A8" s="133"/>
      <c r="B8" s="133"/>
      <c r="C8" s="43" t="s">
        <v>38</v>
      </c>
      <c r="D8" s="57">
        <f t="shared" si="0"/>
        <v>336.9</v>
      </c>
      <c r="E8" s="57">
        <f>'Таблица 6'!E39</f>
        <v>192.3</v>
      </c>
      <c r="F8" s="57">
        <f>'Таблица 6'!F39</f>
        <v>144.6</v>
      </c>
      <c r="G8" s="57">
        <f>'Таблица 6'!G39</f>
        <v>0</v>
      </c>
      <c r="H8" s="57">
        <f>'Таблица 6'!H39</f>
        <v>0</v>
      </c>
      <c r="I8" s="57">
        <f>'Таблица 6'!I39</f>
        <v>0</v>
      </c>
    </row>
    <row r="9" spans="1:10" ht="15.75">
      <c r="A9" s="133"/>
      <c r="B9" s="133"/>
      <c r="C9" s="43" t="s">
        <v>39</v>
      </c>
      <c r="D9" s="57">
        <f t="shared" si="0"/>
        <v>0</v>
      </c>
      <c r="E9" s="57">
        <f>'Таблица 6'!E40</f>
        <v>0</v>
      </c>
      <c r="F9" s="57">
        <f>'Таблица 6'!F40</f>
        <v>0</v>
      </c>
      <c r="G9" s="57">
        <f>'Таблица 6'!G40</f>
        <v>0</v>
      </c>
      <c r="H9" s="57">
        <f>'Таблица 6'!H40</f>
        <v>0</v>
      </c>
      <c r="I9" s="57">
        <f>'Таблица 6'!I40</f>
        <v>0</v>
      </c>
    </row>
    <row r="10" spans="1:10" ht="31.5">
      <c r="A10" s="133"/>
      <c r="B10" s="133"/>
      <c r="C10" s="43" t="s">
        <v>40</v>
      </c>
      <c r="D10" s="57">
        <f t="shared" si="0"/>
        <v>12814.5</v>
      </c>
      <c r="E10" s="57">
        <f>'Таблица 6'!E41</f>
        <v>180.9</v>
      </c>
      <c r="F10" s="57">
        <f>'Таблица 6'!F41</f>
        <v>2375.4999999999995</v>
      </c>
      <c r="G10" s="57">
        <f>'Таблица 6'!G41</f>
        <v>3753.900000000001</v>
      </c>
      <c r="H10" s="57">
        <f>'Таблица 6'!H41</f>
        <v>3905.4</v>
      </c>
      <c r="I10" s="57">
        <f>'Таблица 6'!I41</f>
        <v>2598.8000000000002</v>
      </c>
    </row>
  </sheetData>
  <mergeCells count="8">
    <mergeCell ref="B5:B10"/>
    <mergeCell ref="A5:A10"/>
    <mergeCell ref="A1:I1"/>
    <mergeCell ref="A3:A4"/>
    <mergeCell ref="B3:B4"/>
    <mergeCell ref="C3:C4"/>
    <mergeCell ref="E3:I3"/>
    <mergeCell ref="D3:D4"/>
  </mergeCells>
  <pageMargins left="0.70866141732283472" right="0.70866141732283472" top="0.74803149606299213" bottom="0.74803149606299213" header="0.31496062992125984" footer="0.31496062992125984"/>
  <pageSetup paperSize="9" firstPageNumber="27" orientation="landscape" useFirstPageNumber="1" verticalDpi="0" r:id="rId1"/>
  <headerFooter>
    <oddFooter>&amp;RСтраница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7"/>
  <sheetViews>
    <sheetView zoomScale="85" zoomScaleNormal="85" workbookViewId="0">
      <selection activeCell="B11" sqref="B11:B12"/>
    </sheetView>
  </sheetViews>
  <sheetFormatPr defaultRowHeight="15"/>
  <cols>
    <col min="1" max="1" width="20.5703125" style="5" customWidth="1"/>
    <col min="2" max="2" width="12.42578125" style="5" customWidth="1"/>
    <col min="3" max="3" width="52.42578125" style="5" customWidth="1"/>
    <col min="4" max="16384" width="9.140625" style="5"/>
  </cols>
  <sheetData>
    <row r="1" spans="1:3" ht="33.75" customHeight="1">
      <c r="A1" s="106" t="s">
        <v>67</v>
      </c>
      <c r="B1" s="106"/>
      <c r="C1" s="106"/>
    </row>
    <row r="2" spans="1:3" ht="15.75">
      <c r="C2" s="24" t="s">
        <v>54</v>
      </c>
    </row>
    <row r="3" spans="1:3" ht="56.25" customHeight="1">
      <c r="A3" s="15" t="s">
        <v>57</v>
      </c>
      <c r="B3" s="15" t="s">
        <v>58</v>
      </c>
      <c r="C3" s="15" t="s">
        <v>59</v>
      </c>
    </row>
    <row r="4" spans="1:3" ht="15.75">
      <c r="A4" s="15">
        <v>1</v>
      </c>
      <c r="B4" s="15">
        <v>2</v>
      </c>
      <c r="C4" s="15">
        <v>3</v>
      </c>
    </row>
    <row r="5" spans="1:3" ht="112.5" customHeight="1">
      <c r="A5" s="16" t="s">
        <v>60</v>
      </c>
      <c r="B5" s="15" t="s">
        <v>61</v>
      </c>
      <c r="C5" s="16" t="s">
        <v>66</v>
      </c>
    </row>
    <row r="6" spans="1:3" ht="126">
      <c r="A6" s="16" t="s">
        <v>62</v>
      </c>
      <c r="B6" s="15" t="s">
        <v>61</v>
      </c>
      <c r="C6" s="16" t="s">
        <v>65</v>
      </c>
    </row>
    <row r="7" spans="1:3" ht="67.5" customHeight="1">
      <c r="A7" s="16" t="s">
        <v>63</v>
      </c>
      <c r="B7" s="15" t="s">
        <v>61</v>
      </c>
      <c r="C7" s="16" t="s">
        <v>64</v>
      </c>
    </row>
  </sheetData>
  <mergeCells count="1">
    <mergeCell ref="A1:C1"/>
  </mergeCells>
  <pageMargins left="0.70866141732283472" right="0.70866141732283472" top="0.74803149606299213" bottom="0.74803149606299213" header="0.31496062992125984" footer="0.31496062992125984"/>
  <pageSetup paperSize="9" firstPageNumber="28" orientation="landscape" useFirstPageNumber="1" verticalDpi="0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6</vt:i4>
      </vt:variant>
    </vt:vector>
  </HeadingPairs>
  <TitlesOfParts>
    <vt:vector size="18" baseType="lpstr">
      <vt:lpstr>Таблица 1</vt:lpstr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Таблица 9</vt:lpstr>
      <vt:lpstr>СОСТ 2020</vt:lpstr>
      <vt:lpstr>БУСТ 2020</vt:lpstr>
      <vt:lpstr>БУСТ 2021</vt:lpstr>
      <vt:lpstr>'БУСТ 2020'!Заголовки_для_печати</vt:lpstr>
      <vt:lpstr>'Таблица 2'!Заголовки_для_печати</vt:lpstr>
      <vt:lpstr>'Таблица 4'!Заголовки_для_печати</vt:lpstr>
      <vt:lpstr>'Таблица 6'!Заголовки_для_печати</vt:lpstr>
      <vt:lpstr>'БУСТ 2021'!Область_печати</vt:lpstr>
      <vt:lpstr>'Таблица 6'!Область_печати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Сергей</cp:lastModifiedBy>
  <cp:lastPrinted>2020-08-26T10:55:16Z</cp:lastPrinted>
  <dcterms:created xsi:type="dcterms:W3CDTF">2018-08-24T06:18:58Z</dcterms:created>
  <dcterms:modified xsi:type="dcterms:W3CDTF">2020-08-26T10:55:44Z</dcterms:modified>
</cp:coreProperties>
</file>