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Budget01\Главный специалист по расходам\Мониторинг поселений\Мониторинг поселений за 2024 г\3 квартал\"/>
    </mc:Choice>
  </mc:AlternateContent>
  <xr:revisionPtr revIDLastSave="0" documentId="13_ncr:1_{5C28BA9F-223C-49E1-9E44-39C81EAAC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10.2024" sheetId="11" r:id="rId1"/>
  </sheets>
  <definedNames>
    <definedName name="_xlnm._FilterDatabase" localSheetId="0" hidden="1">'01.10.2024'!$A$3:$DU$12</definedName>
    <definedName name="Z_027ED452_6E36_405C_A380_C4AAA8274A51_.wvu.FilterData" localSheetId="0" hidden="1">'01.10.2024'!$A$3:$DE$12</definedName>
    <definedName name="Z_06F3E528_7FD7_45EA_9733_70696AB6E064_.wvu.FilterData" localSheetId="0" hidden="1">'01.10.2024'!$A$3:$DU$13</definedName>
    <definedName name="Z_06F3E528_7FD7_45EA_9733_70696AB6E064_.wvu.PrintTitles" localSheetId="0" hidden="1">'01.10.2024'!$A:$A</definedName>
    <definedName name="Z_1E58ABDF_F5FA_4F2B_9F79_57A1C9A64C57_.wvu.FilterData" localSheetId="0" hidden="1">'01.10.2024'!$A$3:$DU$13</definedName>
    <definedName name="Z_2FCE8099_1417_485A_8511_EE723EEA4481_.wvu.FilterData" localSheetId="0" hidden="1">'01.10.2024'!$A$3:$DE$12</definedName>
    <definedName name="Z_3EA3AE44_20E6_4193_A2F8_53C22C0865C0_.wvu.FilterData" localSheetId="0" hidden="1">'01.10.2024'!$A$3:$DU$13</definedName>
    <definedName name="Z_47618C2E_2D42_45CA_BC54_3925FFBF6CE6_.wvu.FilterData" localSheetId="0" hidden="1">'01.10.2024'!$A$3:$DE$12</definedName>
    <definedName name="Z_5623871A_FE63_4492_ACCA_57FBC37D74A2_.wvu.FilterData" localSheetId="0" hidden="1">'01.10.2024'!$A$3:$DE$12</definedName>
    <definedName name="Z_67FD0576_AFA8_4CFA_A2B0_67851B563777_.wvu.FilterData" localSheetId="0" hidden="1">'01.10.2024'!$A$3:$DU$13</definedName>
    <definedName name="Z_7DFBAF4F_EE4F_4154_8998_FD24AFC87B75_.wvu.FilterData" localSheetId="0" hidden="1">'01.10.2024'!$A$3:$DE$12</definedName>
    <definedName name="Z_83B01B27_C2A7_4B20_A590_F8781D350302_.wvu.FilterData" localSheetId="0" hidden="1">'01.10.2024'!$A$3:$DE$12</definedName>
    <definedName name="Z_8479B930_2ECF_4EA0_A962_FA0F8FFA65E9_.wvu.Cols" localSheetId="0" hidden="1">'01.10.2024'!$AQ:$AT</definedName>
    <definedName name="Z_8479B930_2ECF_4EA0_A962_FA0F8FFA65E9_.wvu.FilterData" localSheetId="0" hidden="1">'01.10.2024'!$A$3:$DE$12</definedName>
    <definedName name="Z_8479B930_2ECF_4EA0_A962_FA0F8FFA65E9_.wvu.PrintTitles" localSheetId="0" hidden="1">'01.10.2024'!$A:$A</definedName>
    <definedName name="Z_86509CF0_1693_4145_BD67_1D5B5BC26910_.wvu.Cols" localSheetId="0" hidden="1">'01.10.2024'!$AQ:$CD,'01.10.2024'!$CN:$CQ</definedName>
    <definedName name="Z_86509CF0_1693_4145_BD67_1D5B5BC26910_.wvu.FilterData" localSheetId="0" hidden="1">'01.10.2024'!$A$3:$DE$12</definedName>
    <definedName name="Z_87FAD824_FED7_4F1B_9277_9B725CB39092_.wvu.FilterData" localSheetId="0" hidden="1">'01.10.2024'!$A$3:$DU$13</definedName>
    <definedName name="Z_9625BFD3_6AEA_44D4_8F34_A9CE23E02485_.wvu.FilterData" localSheetId="0" hidden="1">'01.10.2024'!$A$3:$DU$13</definedName>
    <definedName name="Z_96F19E6A_E9EC_4613_AA7E_553FFAF2726F_.wvu.FilterData" localSheetId="0" hidden="1">'01.10.2024'!$A$3:$DE$12</definedName>
    <definedName name="Z_A073C89F_C785_4083_91CF_BBD92C69538C_.wvu.FilterData" localSheetId="0" hidden="1">'01.10.2024'!$A$3:$DE$12</definedName>
    <definedName name="Z_A0CB5671_798E_47D4_8F2F_926DE6C0913F_.wvu.FilterData" localSheetId="0" hidden="1">'01.10.2024'!$A$3:$DE$12</definedName>
    <definedName name="Z_CC3239AA_6ABC_4AD9_82FB_E11EF96A938B_.wvu.FilterData" localSheetId="0" hidden="1">'01.10.2024'!$A$3:$DU$13</definedName>
    <definedName name="Z_CCE22413_FD19_4F63_B002_75D8202D430D_.wvu.FilterData" localSheetId="0" hidden="1">'01.10.2024'!$A$3:$DU$13</definedName>
    <definedName name="Z_E3C09BFA_8B90_4516_B4A1_C40194786251_.wvu.FilterData" localSheetId="0" hidden="1">'01.10.2024'!$A$3:$DU$13</definedName>
    <definedName name="Z_E6E35B51_2B6C_4505_80DA_44E3E0129050_.wvu.FilterData" localSheetId="0" hidden="1">'01.10.2024'!$A$3:$DU$12</definedName>
    <definedName name="_xlnm.Print_Titles" localSheetId="0">'01.10.2024'!$A:$A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Y5" i="11" l="1"/>
  <c r="DY6" i="11"/>
  <c r="DY7" i="11"/>
  <c r="DY8" i="11"/>
  <c r="DY9" i="11"/>
  <c r="DY10" i="11"/>
  <c r="DY11" i="11"/>
  <c r="DY12" i="11"/>
  <c r="EE5" i="11"/>
  <c r="AR12" i="11"/>
  <c r="AR11" i="11"/>
  <c r="AR10" i="11"/>
  <c r="AR9" i="11"/>
  <c r="AR8" i="11"/>
  <c r="AR7" i="11"/>
  <c r="AR6" i="11"/>
  <c r="AR5" i="11"/>
  <c r="AR4" i="11"/>
  <c r="AQ12" i="11"/>
  <c r="V5" i="11"/>
  <c r="E4" i="11" l="1"/>
  <c r="CJ5" i="11" l="1"/>
  <c r="CJ6" i="11"/>
  <c r="CJ7" i="11"/>
  <c r="CJ8" i="11"/>
  <c r="CJ9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W12" i="11" l="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E9" i="11"/>
  <c r="W9" i="11"/>
  <c r="Y9" i="11" s="1"/>
  <c r="S9" i="11"/>
  <c r="L9" i="11"/>
  <c r="N9" i="11" s="1"/>
  <c r="E9" i="11"/>
  <c r="G9" i="11" s="1"/>
  <c r="EA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2" i="11" l="1"/>
  <c r="EE10" i="11"/>
  <c r="EE11" i="11"/>
  <c r="EE9" i="11"/>
  <c r="EE8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<sst xmlns="http://schemas.openxmlformats.org/spreadsheetml/2006/main" count="351" uniqueCount="189">
  <si>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</si>
  <si>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</si>
  <si>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</si>
  <si>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</si>
  <si>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</si>
  <si>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</si>
  <si>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</si>
  <si>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</si>
  <si>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</si>
  <si>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</si>
  <si>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</si>
  <si>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</si>
  <si>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</si>
  <si>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</si>
  <si>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</si>
  <si>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</si>
  <si>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</si>
  <si>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</si>
  <si>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</si>
  <si>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</si>
  <si>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</si>
  <si>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</si>
  <si>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</si>
  <si>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</si>
  <si>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</si>
  <si>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</si>
  <si>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</si>
  <si>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</si>
  <si>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</si>
  <si>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</si>
  <si>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</si>
  <si>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</si>
  <si>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</si>
  <si>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</si>
  <si>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</si>
  <si>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</si>
  <si>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</si>
  <si>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</si>
  <si>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</si>
  <si>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</si>
  <si>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</si>
  <si>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</si>
  <si>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</si>
  <si>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</si>
  <si>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</si>
  <si>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</si>
  <si>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</si>
  <si>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</si>
  <si>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</si>
  <si>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</si>
  <si>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</si>
  <si>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</si>
  <si>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</si>
  <si>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</si>
  <si>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</si>
  <si>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</si>
  <si>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</si>
  <si>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</si>
  <si>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</si>
  <si>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</si>
  <si>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</si>
  <si>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</si>
  <si>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</si>
  <si>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</si>
  <si>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</si>
  <si>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</si>
  <si>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</si>
  <si>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</si>
  <si>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</si>
  <si>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</si>
  <si>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</si>
  <si>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</si>
  <si>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</si>
  <si>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</si>
  <si>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</si>
  <si>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</si>
  <si>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</si>
  <si>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</si>
  <si>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</si>
  <si>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</si>
  <si>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</si>
  <si>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</si>
  <si>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</si>
  <si>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</si>
  <si>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</si>
  <si>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</si>
  <si>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</si>
  <si>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</si>
  <si>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</si>
  <si>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</si>
  <si>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</si>
  <si>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</si>
  <si>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</si>
  <si>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</si>
  <si>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</si>
  <si>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</si>
  <si>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</si>
  <si>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</si>
  <si>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</si>
  <si>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</si>
  <si>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</si>
  <si>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</si>
  <si>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</si>
  <si>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</si>
  <si>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</si>
  <si>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</si>
  <si>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</si>
  <si>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</si>
  <si>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</si>
  <si>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</si>
  <si>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</si>
  <si>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</si>
  <si>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</si>
  <si>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</si>
  <si>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</si>
  <si>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</si>
  <si>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</si>
  <si>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</si>
  <si>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</si>
  <si>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</si>
  <si>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</si>
  <si>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</si>
  <si>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</si>
  <si>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</si>
  <si>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</si>
  <si>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</si>
  <si>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</si>
  <si>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</si>
  <si>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</si>
  <si>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</si>
  <si>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</si>
  <si>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</si>
  <si>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</si>
  <si>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</si>
  <si>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</si>
  <si>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</si>
  <si>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</si>
  <si>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</si>
  <si>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</si>
  <si>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</si>
  <si>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</si>
  <si>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</si>
  <si>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</si>
  <si>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</si>
  <si>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</si>
  <si>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</si>
  <si>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</si>
  <si>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</si>
  <si>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</si>
  <si>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</si>
  <si>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</si>
  <si>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</si>
  <si>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</si>
  <si>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</si>
  <si>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</si>
  <si>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</si>
  <si>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</si>
  <si>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</si>
  <si>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</si>
  <si>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</si>
  <si>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</si>
  <si>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</si>
  <si>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</si>
  <si>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</si>
  <si>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</si>
  <si>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Дата принятия бюджета на 2024 год</t>
  </si>
  <si>
    <t>22.12.2023</t>
  </si>
  <si>
    <t>09.01.2024</t>
  </si>
  <si>
    <t>26.12.2023</t>
  </si>
  <si>
    <t>21.12.2023</t>
  </si>
  <si>
    <t>20.12.2023</t>
  </si>
  <si>
    <t>19.12.2023</t>
  </si>
  <si>
    <t>21.12.2023 №225</t>
  </si>
  <si>
    <t>27.12.2023 №40</t>
  </si>
  <si>
    <t>20.11.2023</t>
  </si>
  <si>
    <t>14.12.2023 №51</t>
  </si>
  <si>
    <t>23.11.2023</t>
  </si>
  <si>
    <t>09.01.2024 №1</t>
  </si>
  <si>
    <t>25.12.2023 №105</t>
  </si>
  <si>
    <t>26.12.2023 №87</t>
  </si>
  <si>
    <t>05.04.2024</t>
  </si>
  <si>
    <t>05.12.2023</t>
  </si>
  <si>
    <t>05.03.2024</t>
  </si>
  <si>
    <t>19.04.2024</t>
  </si>
  <si>
    <t>27.04.2024</t>
  </si>
  <si>
    <t>19.12.2023 №79</t>
  </si>
  <si>
    <t>06.12.2023</t>
  </si>
  <si>
    <t>Оценка качества организации и осуществления бюджетного процесса в городских и сельских поселениях Куменского района на 01.10.2024 года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</si>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</sst>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14" fontId="17" fillId="4" borderId="0" xfId="0" applyNumberFormat="1" applyFont="1" applyFill="1" applyAlignment="1">
      <alignment horizontal="left"/>
    </xf>
    <xf numFmtId="164" fontId="0" fillId="4" borderId="1" xfId="0" applyNumberFormat="1" applyFill="1" applyBorder="1" applyAlignment="1">
      <alignment horizontal="center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8" borderId="1" xfId="0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80" zoomScaleNormal="75" zoomScaleSheetLayoutView="80" workbookViewId="0">
      <pane xSplit="1" ySplit="3" topLeftCell="DC4" activePane="bottomRight" state="frozen"/>
      <selection pane="topRight" activeCell="B1" sqref="B1"/>
      <selection pane="bottomLeft" activeCell="A4" sqref="A4"/>
      <selection pane="bottomRight" activeCell="A4" sqref="A4:A12"/>
    </sheetView>
  </sheetViews>
  <sheetFormatPr defaultRowHeight="12.75" x14ac:dyDescent="0.2"/>
  <cols>
    <col min="1" max="1" width="30.140625" style="12" customWidth="1"/>
    <col min="2" max="2" width="12.7109375" customWidth="1"/>
    <col min="3" max="3" width="13.140625" customWidth="1"/>
    <col min="4" max="4" width="13.7109375" customWidth="1"/>
    <col min="5" max="5" width="11.7109375" style="5" customWidth="1"/>
    <col min="6" max="6" width="12.42578125" style="1" customWidth="1"/>
    <col min="7" max="7" width="11" style="3" customWidth="1"/>
    <col min="8" max="8" width="10.7109375" customWidth="1"/>
    <col min="9" max="9" width="12.5703125" customWidth="1"/>
    <col min="10" max="10" width="13.5703125" style="5" customWidth="1"/>
    <col min="11" max="11" width="12.42578125" style="3" customWidth="1"/>
    <col min="12" max="12" width="10.7109375" style="11" customWidth="1"/>
    <col min="13" max="13" width="11.28515625" style="3" customWidth="1"/>
    <col min="14" max="14" width="10.140625" style="3" customWidth="1"/>
    <col min="15" max="15" width="6.5703125" customWidth="1"/>
    <col min="16" max="16" width="7.85546875" customWidth="1"/>
    <col min="17" max="17" width="11" style="5" customWidth="1"/>
    <col min="18" max="18" width="11" style="1" customWidth="1"/>
    <col min="19" max="19" width="9.28515625" style="3" customWidth="1"/>
    <col min="20" max="20" width="9" style="6" customWidth="1"/>
    <col min="21" max="21" width="12.42578125" customWidth="1"/>
    <col min="22" max="22" width="12.85546875" customWidth="1"/>
    <col min="23" max="23" width="10" style="5" customWidth="1"/>
    <col min="24" max="24" width="9" customWidth="1"/>
    <col min="25" max="25" width="8.7109375" style="5" customWidth="1"/>
    <col min="26" max="26" width="10.28515625" style="12" customWidth="1"/>
    <col min="27" max="27" width="12.42578125" style="7" customWidth="1"/>
    <col min="28" max="28" width="12" customWidth="1"/>
    <col min="29" max="29" width="11" style="5" customWidth="1"/>
    <col min="30" max="30" width="10.85546875" style="8" customWidth="1"/>
    <col min="31" max="31" width="9.42578125" style="3" customWidth="1"/>
    <col min="32" max="32" width="12.42578125" customWidth="1"/>
    <col min="33" max="33" width="11.85546875" customWidth="1"/>
    <col min="34" max="34" width="11" style="5" customWidth="1"/>
    <col min="35" max="35" width="11.42578125" customWidth="1"/>
    <col min="37" max="37" width="13.42578125" customWidth="1"/>
    <col min="38" max="38" width="7.140625" customWidth="1"/>
    <col min="39" max="39" width="7" customWidth="1"/>
    <col min="40" max="40" width="11.7109375" customWidth="1"/>
    <col min="41" max="41" width="11.28515625" customWidth="1"/>
    <col min="42" max="42" width="10.42578125" customWidth="1"/>
    <col min="43" max="43" width="13.42578125" customWidth="1"/>
    <col min="44" max="44" width="16.28515625" customWidth="1"/>
    <col min="45" max="45" width="11.5703125" style="5" customWidth="1"/>
    <col min="46" max="46" width="9.42578125" customWidth="1"/>
    <col min="47" max="47" width="10" customWidth="1"/>
    <col min="48" max="50" width="9.42578125" customWidth="1"/>
    <col min="51" max="51" width="12.140625" customWidth="1"/>
    <col min="52" max="52" width="9.42578125" customWidth="1"/>
    <col min="53" max="53" width="13.140625" customWidth="1"/>
    <col min="54" max="54" width="14.28515625" customWidth="1"/>
    <col min="55" max="55" width="11.7109375" style="5" customWidth="1"/>
    <col min="56" max="56" width="11" style="3" customWidth="1"/>
    <col min="57" max="57" width="12.85546875" customWidth="1"/>
    <col min="58" max="58" width="13.140625" style="3" customWidth="1"/>
    <col min="59" max="59" width="11.5703125" style="5" customWidth="1"/>
    <col min="61" max="61" width="12.28515625" customWidth="1"/>
    <col min="62" max="62" width="13.42578125" customWidth="1"/>
    <col min="63" max="63" width="11.85546875" customWidth="1"/>
    <col min="64" max="74" width="11.140625" customWidth="1"/>
    <col min="75" max="75" width="13.7109375" customWidth="1"/>
    <col min="76" max="76" width="12" customWidth="1"/>
    <col min="77" max="77" width="11.140625" customWidth="1"/>
    <col min="78" max="78" width="8.5703125" customWidth="1"/>
    <col min="79" max="79" width="14.5703125" customWidth="1"/>
    <col min="80" max="80" width="14.42578125" customWidth="1"/>
    <col min="81" max="81" width="14" style="5" customWidth="1"/>
    <col min="82" max="82" width="13.5703125" style="3" customWidth="1"/>
    <col min="83" max="83" width="10.85546875" style="3" customWidth="1"/>
    <col min="84" max="84" width="10.28515625" style="3" customWidth="1"/>
    <col min="85" max="85" width="16.140625" style="3" customWidth="1"/>
    <col min="86" max="86" width="17.28515625" style="3" customWidth="1"/>
    <col min="87" max="87" width="8.7109375" style="3" customWidth="1"/>
    <col min="88" max="88" width="11.5703125" style="3" customWidth="1"/>
    <col min="89" max="89" width="9.28515625" style="3" customWidth="1"/>
    <col min="90" max="90" width="8.42578125" customWidth="1"/>
    <col min="91" max="91" width="9.28515625" customWidth="1"/>
    <col min="92" max="92" width="12" customWidth="1"/>
    <col min="93" max="93" width="11.85546875" customWidth="1"/>
    <col min="94" max="94" width="12.7109375" customWidth="1"/>
    <col min="95" max="95" width="11.7109375" style="3" customWidth="1"/>
    <col min="96" max="96" width="11.28515625" style="3" customWidth="1"/>
    <col min="97" max="97" width="9.85546875" style="3" customWidth="1"/>
    <col min="98" max="98" width="11" customWidth="1"/>
    <col min="99" max="99" width="14" style="7" customWidth="1"/>
    <col min="100" max="100" width="11.85546875" style="7" customWidth="1"/>
    <col min="101" max="101" width="13.7109375" style="7" customWidth="1"/>
    <col min="102" max="102" width="10.7109375" style="5" customWidth="1"/>
    <col min="103" max="103" width="8.42578125" customWidth="1"/>
    <col min="104" max="104" width="8" style="10" customWidth="1"/>
    <col min="105" max="105" width="10.85546875" customWidth="1"/>
    <col min="106" max="106" width="9" customWidth="1"/>
    <col min="107" max="107" width="11.28515625" customWidth="1"/>
    <col min="108" max="108" width="12.42578125" customWidth="1"/>
    <col min="109" max="109" width="13.7109375" customWidth="1"/>
    <col min="110" max="110" width="12" customWidth="1"/>
    <col min="111" max="111" width="10.5703125" customWidth="1"/>
    <col min="112" max="112" width="13.28515625" customWidth="1"/>
    <col min="113" max="113" width="11" customWidth="1"/>
    <col min="114" max="114" width="11.140625" customWidth="1"/>
    <col min="115" max="115" width="17.85546875" customWidth="1"/>
    <col min="116" max="116" width="10.140625" customWidth="1"/>
    <col min="117" max="117" width="19.28515625" customWidth="1"/>
    <col min="118" max="118" width="11.140625" customWidth="1"/>
    <col min="119" max="119" width="17.28515625" customWidth="1"/>
    <col min="120" max="120" width="10.28515625" customWidth="1"/>
    <col min="121" max="121" width="10" customWidth="1"/>
    <col min="122" max="122" width="9.42578125" customWidth="1"/>
    <col min="123" max="123" width="12.5703125" customWidth="1"/>
    <col min="124" max="124" width="14.7109375" customWidth="1"/>
    <col min="125" max="125" width="10.28515625" customWidth="1"/>
    <col min="126" max="126" width="13.5703125" customWidth="1"/>
    <col min="127" max="127" width="8.7109375" bestFit="1" customWidth="1"/>
    <col min="128" max="128" width="11.5703125" customWidth="1"/>
    <col min="130" max="130" width="12.28515625" customWidth="1"/>
    <col min="132" max="132" width="5.7109375" customWidth="1"/>
    <col min="133" max="133" width="4.28515625" customWidth="1"/>
    <col min="134" max="134" width="10.140625" hidden="1" customWidth="1"/>
    <col min="135" max="135" width="9.140625" customWidth="1"/>
  </cols>
  <sheetData>
    <row r="1" spans="1:142" s="77" customFormat="1" ht="37.5" customHeight="1" x14ac:dyDescent="0.3">
      <c r="A1" s="80"/>
      <c r="B1" s="81" t="s">
        <v>187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69"/>
      <c r="S1" s="70"/>
      <c r="T1" s="71"/>
      <c r="U1" s="72"/>
      <c r="V1" s="72"/>
      <c r="W1" s="73"/>
      <c r="X1" s="72"/>
      <c r="Y1" s="73"/>
      <c r="Z1" s="72"/>
      <c r="AA1" s="74"/>
      <c r="AB1" s="72"/>
      <c r="AC1" s="73"/>
      <c r="AD1" s="75"/>
      <c r="AE1" s="70"/>
      <c r="AF1" s="72"/>
      <c r="AG1" s="72"/>
      <c r="AH1" s="73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3"/>
      <c r="AT1" s="72"/>
      <c r="AU1" s="72"/>
      <c r="AV1" s="72"/>
      <c r="AW1" s="72"/>
      <c r="AX1" s="72"/>
      <c r="AY1" s="72"/>
      <c r="AZ1" s="72"/>
      <c r="BA1" s="72"/>
      <c r="BB1" s="72"/>
      <c r="BC1" s="73"/>
      <c r="BD1" s="70"/>
      <c r="BE1" s="72"/>
      <c r="BF1" s="70"/>
      <c r="BG1" s="73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3"/>
      <c r="CD1" s="70"/>
      <c r="CE1" s="70"/>
      <c r="CF1" s="70"/>
      <c r="CG1" s="70"/>
      <c r="CH1" s="70"/>
      <c r="CI1" s="70"/>
      <c r="CJ1" s="70"/>
      <c r="CK1" s="70"/>
      <c r="CL1" s="72"/>
      <c r="CM1" s="72"/>
      <c r="CN1" s="72"/>
      <c r="CO1" s="72"/>
      <c r="CP1" s="72"/>
      <c r="CQ1" s="70"/>
      <c r="CR1" s="70"/>
      <c r="CS1" s="70"/>
      <c r="CT1" s="72"/>
      <c r="CU1" s="74"/>
      <c r="CV1" s="74"/>
      <c r="CW1" s="74"/>
      <c r="CX1" s="73"/>
      <c r="CY1" s="72"/>
      <c r="CZ1" s="76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</row>
    <row r="2" spans="1:142" s="2" customFormat="1" ht="120" customHeight="1" x14ac:dyDescent="0.2">
      <c r="A2" s="95" t="s">
        <v>0</v>
      </c>
      <c r="B2" s="92" t="s">
        <v>75</v>
      </c>
      <c r="C2" s="92"/>
      <c r="D2" s="92"/>
      <c r="E2" s="92"/>
      <c r="F2" s="92"/>
      <c r="G2" s="92"/>
      <c r="H2" s="92" t="s">
        <v>28</v>
      </c>
      <c r="I2" s="92"/>
      <c r="J2" s="92"/>
      <c r="K2" s="92"/>
      <c r="L2" s="92"/>
      <c r="M2" s="92"/>
      <c r="N2" s="92"/>
      <c r="O2" s="88" t="s">
        <v>31</v>
      </c>
      <c r="P2" s="89"/>
      <c r="Q2" s="89"/>
      <c r="R2" s="89"/>
      <c r="S2" s="90"/>
      <c r="T2" s="92" t="s">
        <v>132</v>
      </c>
      <c r="U2" s="92"/>
      <c r="V2" s="92"/>
      <c r="W2" s="92"/>
      <c r="X2" s="92"/>
      <c r="Y2" s="92"/>
      <c r="Z2" s="92" t="s">
        <v>29</v>
      </c>
      <c r="AA2" s="92"/>
      <c r="AB2" s="92"/>
      <c r="AC2" s="92"/>
      <c r="AD2" s="92"/>
      <c r="AE2" s="92"/>
      <c r="AF2" s="88" t="s">
        <v>80</v>
      </c>
      <c r="AG2" s="89"/>
      <c r="AH2" s="89"/>
      <c r="AI2" s="89"/>
      <c r="AJ2" s="90"/>
      <c r="AK2" s="88" t="s">
        <v>32</v>
      </c>
      <c r="AL2" s="89"/>
      <c r="AM2" s="89"/>
      <c r="AN2" s="90"/>
      <c r="AO2" s="88" t="s">
        <v>107</v>
      </c>
      <c r="AP2" s="90"/>
      <c r="AQ2" s="88" t="s">
        <v>108</v>
      </c>
      <c r="AR2" s="89"/>
      <c r="AS2" s="89"/>
      <c r="AT2" s="90"/>
      <c r="AU2" s="88" t="s">
        <v>109</v>
      </c>
      <c r="AV2" s="90"/>
      <c r="AW2" s="88" t="s">
        <v>110</v>
      </c>
      <c r="AX2" s="90"/>
      <c r="AY2" s="88" t="s">
        <v>111</v>
      </c>
      <c r="AZ2" s="90"/>
      <c r="BA2" s="92" t="s">
        <v>112</v>
      </c>
      <c r="BB2" s="92"/>
      <c r="BC2" s="92"/>
      <c r="BD2" s="92"/>
      <c r="BE2" s="92" t="s">
        <v>113</v>
      </c>
      <c r="BF2" s="92"/>
      <c r="BG2" s="92"/>
      <c r="BH2" s="92"/>
      <c r="BI2" s="88" t="s">
        <v>114</v>
      </c>
      <c r="BJ2" s="89"/>
      <c r="BK2" s="89"/>
      <c r="BL2" s="89"/>
      <c r="BM2" s="92" t="s">
        <v>133</v>
      </c>
      <c r="BN2" s="92"/>
      <c r="BO2" s="92"/>
      <c r="BP2" s="92"/>
      <c r="BQ2" s="92"/>
      <c r="BR2" s="92"/>
      <c r="BS2" s="88" t="s">
        <v>118</v>
      </c>
      <c r="BT2" s="89"/>
      <c r="BU2" s="89"/>
      <c r="BV2" s="90"/>
      <c r="BW2" s="88" t="s">
        <v>117</v>
      </c>
      <c r="BX2" s="89"/>
      <c r="BY2" s="89"/>
      <c r="BZ2" s="90"/>
      <c r="CA2" s="92" t="s">
        <v>119</v>
      </c>
      <c r="CB2" s="92"/>
      <c r="CC2" s="92"/>
      <c r="CD2" s="92"/>
      <c r="CE2" s="92"/>
      <c r="CF2" s="92"/>
      <c r="CG2" s="88" t="s">
        <v>154</v>
      </c>
      <c r="CH2" s="89"/>
      <c r="CI2" s="89"/>
      <c r="CJ2" s="89"/>
      <c r="CK2" s="90"/>
      <c r="CL2" s="92" t="s">
        <v>155</v>
      </c>
      <c r="CM2" s="92"/>
      <c r="CN2" s="88" t="s">
        <v>120</v>
      </c>
      <c r="CO2" s="89"/>
      <c r="CP2" s="89"/>
      <c r="CQ2" s="89"/>
      <c r="CR2" s="89"/>
      <c r="CS2" s="90"/>
      <c r="CT2" s="88" t="s">
        <v>121</v>
      </c>
      <c r="CU2" s="89"/>
      <c r="CV2" s="89"/>
      <c r="CW2" s="89"/>
      <c r="CX2" s="89"/>
      <c r="CY2" s="90"/>
      <c r="CZ2" s="88" t="s">
        <v>156</v>
      </c>
      <c r="DA2" s="90"/>
      <c r="DB2" s="88" t="s">
        <v>159</v>
      </c>
      <c r="DC2" s="89"/>
      <c r="DD2" s="88" t="s">
        <v>123</v>
      </c>
      <c r="DE2" s="89"/>
      <c r="DF2" s="89"/>
      <c r="DG2" s="89"/>
      <c r="DH2" s="89"/>
      <c r="DI2" s="89"/>
      <c r="DJ2" s="90"/>
      <c r="DK2" s="88" t="s">
        <v>124</v>
      </c>
      <c r="DL2" s="90"/>
      <c r="DM2" s="88" t="s">
        <v>163</v>
      </c>
      <c r="DN2" s="90"/>
      <c r="DO2" s="88" t="s">
        <v>125</v>
      </c>
      <c r="DP2" s="90"/>
      <c r="DQ2" s="88" t="s">
        <v>126</v>
      </c>
      <c r="DR2" s="90"/>
      <c r="DS2" s="88" t="s">
        <v>127</v>
      </c>
      <c r="DT2" s="89"/>
      <c r="DU2" s="90"/>
      <c r="DV2" s="92" t="s">
        <v>128</v>
      </c>
      <c r="DW2" s="92"/>
      <c r="DX2" s="92" t="s">
        <v>164</v>
      </c>
      <c r="DY2" s="92"/>
      <c r="DZ2" s="88" t="s">
        <v>98</v>
      </c>
      <c r="EA2" s="90"/>
      <c r="EB2" s="93" t="s">
        <v>24</v>
      </c>
      <c r="EC2" s="91" t="s">
        <v>25</v>
      </c>
      <c r="ED2" s="94" t="s">
        <v>84</v>
      </c>
      <c r="EE2" s="91" t="s">
        <v>85</v>
      </c>
    </row>
    <row r="3" spans="1:142" s="2" customFormat="1" ht="329.25" customHeight="1" x14ac:dyDescent="0.2">
      <c r="A3" s="96"/>
      <c r="B3" s="24" t="s">
        <v>134</v>
      </c>
      <c r="C3" s="24" t="s">
        <v>74</v>
      </c>
      <c r="D3" s="24" t="s">
        <v>3</v>
      </c>
      <c r="E3" s="26" t="s">
        <v>1</v>
      </c>
      <c r="F3" s="25" t="s">
        <v>6</v>
      </c>
      <c r="G3" s="24" t="s">
        <v>36</v>
      </c>
      <c r="H3" s="24" t="s">
        <v>135</v>
      </c>
      <c r="I3" s="24" t="s">
        <v>23</v>
      </c>
      <c r="J3" s="26" t="s">
        <v>4</v>
      </c>
      <c r="K3" s="24" t="s">
        <v>5</v>
      </c>
      <c r="L3" s="26" t="s">
        <v>1</v>
      </c>
      <c r="M3" s="24" t="s">
        <v>6</v>
      </c>
      <c r="N3" s="24" t="s">
        <v>36</v>
      </c>
      <c r="O3" s="27" t="s">
        <v>12</v>
      </c>
      <c r="P3" s="27" t="s">
        <v>72</v>
      </c>
      <c r="Q3" s="28" t="s">
        <v>1</v>
      </c>
      <c r="R3" s="29" t="s">
        <v>6</v>
      </c>
      <c r="S3" s="24" t="s">
        <v>36</v>
      </c>
      <c r="T3" s="30" t="s">
        <v>145</v>
      </c>
      <c r="U3" s="27" t="s">
        <v>73</v>
      </c>
      <c r="V3" s="27" t="s">
        <v>146</v>
      </c>
      <c r="W3" s="28" t="s">
        <v>1</v>
      </c>
      <c r="X3" s="27" t="s">
        <v>6</v>
      </c>
      <c r="Y3" s="24" t="s">
        <v>36</v>
      </c>
      <c r="Z3" s="27" t="s">
        <v>30</v>
      </c>
      <c r="AA3" s="31" t="s">
        <v>147</v>
      </c>
      <c r="AB3" s="27" t="s">
        <v>20</v>
      </c>
      <c r="AC3" s="26" t="s">
        <v>1</v>
      </c>
      <c r="AD3" s="24" t="s">
        <v>6</v>
      </c>
      <c r="AE3" s="24" t="s">
        <v>36</v>
      </c>
      <c r="AF3" s="27" t="s">
        <v>149</v>
      </c>
      <c r="AG3" s="27" t="s">
        <v>148</v>
      </c>
      <c r="AH3" s="26" t="s">
        <v>1</v>
      </c>
      <c r="AI3" s="24" t="s">
        <v>6</v>
      </c>
      <c r="AJ3" s="24" t="s">
        <v>36</v>
      </c>
      <c r="AK3" s="27" t="s">
        <v>150</v>
      </c>
      <c r="AL3" s="27" t="s">
        <v>1</v>
      </c>
      <c r="AM3" s="24" t="s">
        <v>6</v>
      </c>
      <c r="AN3" s="27" t="s">
        <v>13</v>
      </c>
      <c r="AO3" s="28" t="s">
        <v>33</v>
      </c>
      <c r="AP3" s="28" t="s">
        <v>35</v>
      </c>
      <c r="AQ3" s="27" t="s">
        <v>27</v>
      </c>
      <c r="AR3" s="27" t="s">
        <v>34</v>
      </c>
      <c r="AS3" s="28" t="s">
        <v>1</v>
      </c>
      <c r="AT3" s="28" t="s">
        <v>37</v>
      </c>
      <c r="AU3" s="28" t="s">
        <v>41</v>
      </c>
      <c r="AV3" s="28" t="s">
        <v>38</v>
      </c>
      <c r="AW3" s="28" t="s">
        <v>42</v>
      </c>
      <c r="AX3" s="28" t="s">
        <v>38</v>
      </c>
      <c r="AY3" s="28" t="s">
        <v>151</v>
      </c>
      <c r="AZ3" s="56" t="s">
        <v>39</v>
      </c>
      <c r="BA3" s="27" t="s">
        <v>15</v>
      </c>
      <c r="BB3" s="27" t="s">
        <v>16</v>
      </c>
      <c r="BC3" s="28" t="s">
        <v>1</v>
      </c>
      <c r="BD3" s="27" t="s">
        <v>76</v>
      </c>
      <c r="BE3" s="24" t="s">
        <v>17</v>
      </c>
      <c r="BF3" s="24" t="s">
        <v>14</v>
      </c>
      <c r="BG3" s="28" t="s">
        <v>99</v>
      </c>
      <c r="BH3" s="27" t="s">
        <v>40</v>
      </c>
      <c r="BI3" s="27" t="s">
        <v>77</v>
      </c>
      <c r="BJ3" s="27" t="s">
        <v>78</v>
      </c>
      <c r="BK3" s="27" t="s">
        <v>1</v>
      </c>
      <c r="BL3" s="24" t="s">
        <v>64</v>
      </c>
      <c r="BM3" s="27" t="s">
        <v>21</v>
      </c>
      <c r="BN3" s="27" t="s">
        <v>43</v>
      </c>
      <c r="BO3" s="27" t="s">
        <v>44</v>
      </c>
      <c r="BP3" s="27" t="s">
        <v>45</v>
      </c>
      <c r="BQ3" s="28" t="s">
        <v>1</v>
      </c>
      <c r="BR3" s="33" t="s">
        <v>40</v>
      </c>
      <c r="BS3" s="27" t="s">
        <v>115</v>
      </c>
      <c r="BT3" s="27" t="s">
        <v>116</v>
      </c>
      <c r="BU3" s="28" t="s">
        <v>1</v>
      </c>
      <c r="BV3" s="33" t="s">
        <v>40</v>
      </c>
      <c r="BW3" s="27" t="s">
        <v>162</v>
      </c>
      <c r="BX3" s="27" t="s">
        <v>161</v>
      </c>
      <c r="BY3" s="28" t="s">
        <v>1</v>
      </c>
      <c r="BZ3" s="33" t="s">
        <v>35</v>
      </c>
      <c r="CA3" s="27" t="s">
        <v>46</v>
      </c>
      <c r="CB3" s="27" t="s">
        <v>47</v>
      </c>
      <c r="CC3" s="28" t="s">
        <v>48</v>
      </c>
      <c r="CD3" s="27" t="s">
        <v>49</v>
      </c>
      <c r="CE3" s="27" t="s">
        <v>1</v>
      </c>
      <c r="CF3" s="27" t="s">
        <v>50</v>
      </c>
      <c r="CG3" s="27" t="s">
        <v>153</v>
      </c>
      <c r="CH3" s="27" t="s">
        <v>152</v>
      </c>
      <c r="CI3" s="27" t="s">
        <v>1</v>
      </c>
      <c r="CJ3" s="27" t="s">
        <v>1</v>
      </c>
      <c r="CK3" s="27" t="s">
        <v>83</v>
      </c>
      <c r="CL3" s="27" t="s">
        <v>51</v>
      </c>
      <c r="CM3" s="27" t="s">
        <v>39</v>
      </c>
      <c r="CN3" s="27" t="s">
        <v>52</v>
      </c>
      <c r="CO3" s="27" t="s">
        <v>53</v>
      </c>
      <c r="CP3" s="27" t="s">
        <v>54</v>
      </c>
      <c r="CQ3" s="27" t="s">
        <v>55</v>
      </c>
      <c r="CR3" s="27" t="s">
        <v>1</v>
      </c>
      <c r="CS3" s="27" t="s">
        <v>56</v>
      </c>
      <c r="CT3" s="27" t="s">
        <v>157</v>
      </c>
      <c r="CU3" s="31" t="s">
        <v>18</v>
      </c>
      <c r="CV3" s="31" t="s">
        <v>158</v>
      </c>
      <c r="CW3" s="31" t="s">
        <v>19</v>
      </c>
      <c r="CX3" s="28" t="s">
        <v>1</v>
      </c>
      <c r="CY3" s="27" t="s">
        <v>57</v>
      </c>
      <c r="CZ3" s="32" t="s">
        <v>58</v>
      </c>
      <c r="DA3" s="27" t="s">
        <v>59</v>
      </c>
      <c r="DB3" s="27" t="s">
        <v>160</v>
      </c>
      <c r="DC3" s="27" t="s">
        <v>122</v>
      </c>
      <c r="DD3" s="57" t="s">
        <v>136</v>
      </c>
      <c r="DE3" s="57" t="s">
        <v>138</v>
      </c>
      <c r="DF3" s="57" t="s">
        <v>139</v>
      </c>
      <c r="DG3" s="57" t="s">
        <v>140</v>
      </c>
      <c r="DH3" s="57" t="s">
        <v>141</v>
      </c>
      <c r="DI3" s="27" t="s">
        <v>1</v>
      </c>
      <c r="DJ3" s="27" t="s">
        <v>60</v>
      </c>
      <c r="DK3" s="57" t="s">
        <v>61</v>
      </c>
      <c r="DL3" s="27" t="s">
        <v>62</v>
      </c>
      <c r="DM3" s="57" t="s">
        <v>2</v>
      </c>
      <c r="DN3" s="27" t="s">
        <v>63</v>
      </c>
      <c r="DO3" s="57" t="s">
        <v>137</v>
      </c>
      <c r="DP3" s="27" t="s">
        <v>62</v>
      </c>
      <c r="DQ3" s="27" t="s">
        <v>26</v>
      </c>
      <c r="DR3" s="27" t="s">
        <v>62</v>
      </c>
      <c r="DS3" s="27" t="s">
        <v>165</v>
      </c>
      <c r="DT3" s="57" t="s">
        <v>22</v>
      </c>
      <c r="DU3" s="27" t="s">
        <v>62</v>
      </c>
      <c r="DV3" s="57" t="s">
        <v>142</v>
      </c>
      <c r="DW3" s="27" t="s">
        <v>79</v>
      </c>
      <c r="DX3" s="57" t="s">
        <v>143</v>
      </c>
      <c r="DY3" s="27" t="s">
        <v>36</v>
      </c>
      <c r="DZ3" s="27" t="s">
        <v>144</v>
      </c>
      <c r="EA3" s="27" t="s">
        <v>36</v>
      </c>
      <c r="EB3" s="93"/>
      <c r="EC3" s="91"/>
      <c r="ED3" s="94"/>
      <c r="EE3" s="91"/>
    </row>
    <row r="4" spans="1:142" s="17" customFormat="1" ht="21" customHeight="1" x14ac:dyDescent="0.25">
      <c r="A4" s="97" t="s">
        <v>65</v>
      </c>
      <c r="B4" s="68">
        <v>460.9</v>
      </c>
      <c r="C4" s="18">
        <v>24186</v>
      </c>
      <c r="D4" s="18">
        <v>10465.4</v>
      </c>
      <c r="E4" s="43">
        <f t="shared" ref="E4:E12" si="0">(B4)/(C4-D4)</f>
        <v>3.3591825430374762E-2</v>
      </c>
      <c r="F4" s="42" t="s">
        <v>7</v>
      </c>
      <c r="G4" s="40">
        <f>IF(E4&lt;=0.05,1,0)</f>
        <v>1</v>
      </c>
      <c r="H4" s="18">
        <v>0</v>
      </c>
      <c r="I4" s="18">
        <v>31301.7</v>
      </c>
      <c r="J4" s="18">
        <v>11504.6</v>
      </c>
      <c r="K4" s="18">
        <v>0</v>
      </c>
      <c r="L4" s="52">
        <f t="shared" ref="L4:L12" si="1">H4/(I4-J4-K4)</f>
        <v>0</v>
      </c>
      <c r="M4" s="42" t="s">
        <v>10</v>
      </c>
      <c r="N4" s="39">
        <f>IF(L4&lt;=0.5,1,0)</f>
        <v>1</v>
      </c>
      <c r="O4" s="15"/>
      <c r="P4" s="15"/>
      <c r="Q4" s="52">
        <v>0</v>
      </c>
      <c r="R4" s="42" t="s">
        <v>11</v>
      </c>
      <c r="S4" s="39">
        <f>IF(O4&lt;=1,1,0)</f>
        <v>1</v>
      </c>
      <c r="T4" s="18">
        <v>0</v>
      </c>
      <c r="U4" s="19">
        <v>24646.9</v>
      </c>
      <c r="V4" s="18">
        <v>0</v>
      </c>
      <c r="W4" s="52">
        <f t="shared" ref="W4:W12" si="2">T4/(U4-V4)</f>
        <v>0</v>
      </c>
      <c r="X4" s="42" t="s">
        <v>9</v>
      </c>
      <c r="Y4" s="39">
        <f t="shared" ref="Y4:Y12" si="3">IF(W4&lt;=0.15,1,0)</f>
        <v>1</v>
      </c>
      <c r="Z4" s="15">
        <v>0</v>
      </c>
      <c r="AA4" s="68">
        <v>460.9</v>
      </c>
      <c r="AB4" s="15">
        <v>0</v>
      </c>
      <c r="AC4" s="52">
        <v>0</v>
      </c>
      <c r="AD4" s="42" t="s">
        <v>11</v>
      </c>
      <c r="AE4" s="39">
        <f t="shared" ref="AE4:AE12" si="4">IF(Z4&lt;=(AA4+AB4),1,0)</f>
        <v>1</v>
      </c>
      <c r="AF4" s="18">
        <v>6218.3</v>
      </c>
      <c r="AG4" s="18">
        <v>6219</v>
      </c>
      <c r="AH4" s="52">
        <f t="shared" ref="AH4:AH12" si="5">AF4/AG4</f>
        <v>0.99988744171088606</v>
      </c>
      <c r="AI4" s="42" t="s">
        <v>11</v>
      </c>
      <c r="AJ4" s="39">
        <v>1</v>
      </c>
      <c r="AK4" s="18">
        <v>0</v>
      </c>
      <c r="AL4" s="42">
        <f>AK4</f>
        <v>0</v>
      </c>
      <c r="AM4" s="42">
        <v>0</v>
      </c>
      <c r="AN4" s="39">
        <f>IF(AL4&gt;0,-1,0)</f>
        <v>0</v>
      </c>
      <c r="AO4" s="18"/>
      <c r="AP4" s="39">
        <f>IF(ISBLANK(AO4),0,-1)</f>
        <v>0</v>
      </c>
      <c r="AQ4" s="19">
        <v>24646.9</v>
      </c>
      <c r="AR4" s="15">
        <f>AQ4-6219.8</f>
        <v>18427.100000000002</v>
      </c>
      <c r="AS4" s="52">
        <f t="shared" ref="AS4:AS12" si="6">AQ4/AR4</f>
        <v>1.3375354776389121</v>
      </c>
      <c r="AT4" s="39">
        <f t="shared" ref="AT4:AT12" si="7">IF(AS4&gt;=0.6,5,IF(AS4&lt;0.3,-1,2))</f>
        <v>5</v>
      </c>
      <c r="AU4" s="46"/>
      <c r="AV4" s="39">
        <f>IF(ISBLANK(AU4),0,-1)</f>
        <v>0</v>
      </c>
      <c r="AW4" s="46"/>
      <c r="AX4" s="39">
        <f>IF(ISBLANK(AW4),0,-1)</f>
        <v>0</v>
      </c>
      <c r="AY4" s="84"/>
      <c r="AZ4" s="39">
        <f>IF(ISBLANK(AY4),0,-1)</f>
        <v>0</v>
      </c>
      <c r="BA4" s="18">
        <v>19797.099999999999</v>
      </c>
      <c r="BB4" s="18">
        <v>18442.099999999999</v>
      </c>
      <c r="BC4" s="52">
        <f t="shared" ref="BC4:BC12" si="8">BA4/BB4</f>
        <v>1.0734731944843592</v>
      </c>
      <c r="BD4" s="39">
        <f t="shared" ref="BD4:BD12" si="9">IF(AND(BC4&gt;=0.95,BC4&lt;=1.05),1,IF(OR(AND(BC4&gt;=0.85,BC4&lt;0.95),AND(BC4&gt;1.05,BC4&lt;=1.15)),0.5,0))</f>
        <v>0.5</v>
      </c>
      <c r="BE4" s="18">
        <v>13720.6</v>
      </c>
      <c r="BF4" s="18">
        <v>13735.4</v>
      </c>
      <c r="BG4" s="52">
        <f t="shared" ref="BG4:BG12" si="10">BE4/BF4</f>
        <v>0.99892249224631247</v>
      </c>
      <c r="BH4" s="14">
        <f>IF(AND(BG4&lt;=1.02,BG4&gt;=0.98),1,0)</f>
        <v>1</v>
      </c>
      <c r="BI4" s="18">
        <v>10773.2</v>
      </c>
      <c r="BJ4" s="18">
        <v>16449.2</v>
      </c>
      <c r="BK4" s="55">
        <f t="shared" ref="BK4:BK12" si="11">BI4/BJ4</f>
        <v>0.65493762614595241</v>
      </c>
      <c r="BL4" s="14">
        <f>IF(AND(0.9&lt;=BK4,BK4&lt;=1.1),0,-1)</f>
        <v>-1</v>
      </c>
      <c r="BM4" s="18">
        <v>0</v>
      </c>
      <c r="BN4" s="18">
        <v>0</v>
      </c>
      <c r="BO4" s="18">
        <v>0</v>
      </c>
      <c r="BP4" s="18">
        <v>0</v>
      </c>
      <c r="BQ4" s="61" t="e">
        <f t="shared" ref="BQ4:BQ12" si="12">(BM4/BN4)/(BO4/BP4)</f>
        <v>#DIV/0!</v>
      </c>
      <c r="BR4" s="14" t="e">
        <f t="shared" ref="BR4:BR12" si="13">IF(BQ4&gt;=1,1,0)</f>
        <v>#DIV/0!</v>
      </c>
      <c r="BS4" s="62">
        <v>0</v>
      </c>
      <c r="BT4" s="62">
        <v>0</v>
      </c>
      <c r="BU4" s="60">
        <f t="shared" ref="BU4:BU12" si="14">BS4-BT4</f>
        <v>0</v>
      </c>
      <c r="BV4" s="59">
        <f>IF(BU4&gt;=1,0,1)</f>
        <v>1</v>
      </c>
      <c r="BW4" s="18">
        <v>10773.2</v>
      </c>
      <c r="BX4" s="18">
        <v>9203.4</v>
      </c>
      <c r="BY4" s="85">
        <f>BW4-BX4</f>
        <v>1569.8000000000011</v>
      </c>
      <c r="BZ4" s="59">
        <f>IF(BY4&gt;=1,0,-1)</f>
        <v>0</v>
      </c>
      <c r="CA4" s="15">
        <v>0</v>
      </c>
      <c r="CB4" s="15">
        <v>0</v>
      </c>
      <c r="CC4" s="15">
        <v>0</v>
      </c>
      <c r="CD4" s="15">
        <v>0</v>
      </c>
      <c r="CE4" s="44" t="e">
        <f t="shared" ref="CE4:CE12" si="15">CA4/((CB4+CC4+CD4)/3)</f>
        <v>#DIV/0!</v>
      </c>
      <c r="CF4" s="14" t="e">
        <f>IF(AND(CE4&gt;=0.7,CE4&lt;=1.3),1,IF(OR(AND(CE4&gt;=0.5,CE4&lt;0.7),AND(CE4&gt;1.35,CE4&lt;=1.5)),0.5,0))</f>
        <v>#DIV/0!</v>
      </c>
      <c r="CG4" s="82">
        <v>227.7</v>
      </c>
      <c r="CH4" s="82">
        <v>229.9</v>
      </c>
      <c r="CI4" s="51">
        <f>CG4-CH4</f>
        <v>-2.2000000000000171</v>
      </c>
      <c r="CJ4" s="51">
        <f>CG4/CH4</f>
        <v>0.99043062200956933</v>
      </c>
      <c r="CK4" s="14">
        <v>0</v>
      </c>
      <c r="CL4" s="15"/>
      <c r="CM4" s="14">
        <f>IF(ISBLANK(CL4),0,-1)</f>
        <v>0</v>
      </c>
      <c r="CN4" s="18">
        <v>0</v>
      </c>
      <c r="CO4" s="18">
        <v>0</v>
      </c>
      <c r="CP4" s="18">
        <v>0</v>
      </c>
      <c r="CQ4" s="18">
        <v>0</v>
      </c>
      <c r="CR4" s="45" t="e">
        <f>(CN4/CO4)/(CP4/CQ4)</f>
        <v>#DIV/0!</v>
      </c>
      <c r="CS4" s="23" t="e">
        <f>IF(CR4&lt;=1,1,0)</f>
        <v>#DIV/0!</v>
      </c>
      <c r="CT4" s="18">
        <v>0</v>
      </c>
      <c r="CU4" s="18">
        <v>0</v>
      </c>
      <c r="CV4" s="18">
        <v>0</v>
      </c>
      <c r="CW4" s="18">
        <v>0</v>
      </c>
      <c r="CX4" s="52" t="e">
        <f t="shared" ref="CX4:CX12" si="16">(CT4/CU4)/(CV4/CW4)</f>
        <v>#DIV/0!</v>
      </c>
      <c r="CY4" s="14">
        <f t="shared" ref="CY4:CY12" si="17">IF(CV4=0,1,IF(CX4&lt;1,1,0))</f>
        <v>1</v>
      </c>
      <c r="CZ4" s="15"/>
      <c r="DA4" s="14">
        <f>IF(ISBLANK(CZ4),0,-1)</f>
        <v>0</v>
      </c>
      <c r="DB4" s="46"/>
      <c r="DC4" s="14">
        <f t="shared" ref="DC4:DC12" si="18">IF(DB4,-0.5,0)</f>
        <v>0</v>
      </c>
      <c r="DD4" s="48" t="s">
        <v>81</v>
      </c>
      <c r="DE4" s="48" t="s">
        <v>81</v>
      </c>
      <c r="DF4" s="49" t="s">
        <v>81</v>
      </c>
      <c r="DG4" s="49" t="s">
        <v>81</v>
      </c>
      <c r="DH4" s="49" t="s">
        <v>81</v>
      </c>
      <c r="DI4" s="42">
        <f t="shared" ref="DI4:DI12" si="19">DD4+DE4+DF4+DG4+DH4</f>
        <v>5</v>
      </c>
      <c r="DJ4" s="14">
        <f t="shared" ref="DJ4:DJ12" si="20">IF(DI4&gt;=5,1,0)</f>
        <v>1</v>
      </c>
      <c r="DK4" s="49" t="s">
        <v>101</v>
      </c>
      <c r="DL4" s="14">
        <f t="shared" ref="DL4:DL12" si="21">IF(ISBLANK(DK4),0,0.5)</f>
        <v>0.5</v>
      </c>
      <c r="DM4" s="49" t="s">
        <v>90</v>
      </c>
      <c r="DN4" s="14">
        <f>IF(ISBLANK(DM4),0,0.5)</f>
        <v>0.5</v>
      </c>
      <c r="DO4" s="49"/>
      <c r="DP4" s="14">
        <f t="shared" ref="DP4:DP12" si="22">IF(ISBLANK(DO4),0,0.5)</f>
        <v>0</v>
      </c>
      <c r="DQ4" s="47" t="s">
        <v>81</v>
      </c>
      <c r="DR4" s="14">
        <f>IF(ISBLANK(DQ4),0,0.5)</f>
        <v>0.5</v>
      </c>
      <c r="DS4" s="65" t="s">
        <v>168</v>
      </c>
      <c r="DT4" s="65" t="s">
        <v>167</v>
      </c>
      <c r="DU4" s="14">
        <f t="shared" ref="DU4:DU12" si="23">IF(ISBLANK(DT4),0,0.5)</f>
        <v>0.5</v>
      </c>
      <c r="DV4" s="65" t="s">
        <v>166</v>
      </c>
      <c r="DW4" s="14">
        <f t="shared" ref="DW4:DW12" si="24">IF(ISBLANK(DV4),0,0.5)</f>
        <v>0.5</v>
      </c>
      <c r="DX4" s="66"/>
      <c r="DY4" s="14">
        <f t="shared" ref="DY4:DY12" si="25">IF(ISBLANK(DX4),0,0.5)</f>
        <v>0</v>
      </c>
      <c r="DZ4" s="49" t="s">
        <v>81</v>
      </c>
      <c r="EA4" s="14">
        <f>IF(ISBLANK(DZ4),0,1)</f>
        <v>1</v>
      </c>
      <c r="EB4" s="16">
        <v>26.5</v>
      </c>
      <c r="EC4" s="16">
        <v>-5</v>
      </c>
      <c r="ED4" s="54" t="e">
        <f>G4+N4+S4+Y4+AE4+AJ4+AN4+#REF!+AP4+AT4+AV4+AX4+AZ4+BD4+BH4+BL4+#REF!+CF4+CK4+CM4+CS4+CY4+DA4+#REF!+DJ4+#REF!+#REF!+#REF!+DL4+#REF!+DN4+DP4+DR4+DU4+DW4+DY4+EA4</f>
        <v>#REF!</v>
      </c>
      <c r="EE4" s="87">
        <f t="shared" ref="EE4:EE9" si="26">G4+N4+Y4+AE4++AN4+AP4+AT4+AV4+AX4+AZ4+BD4+BH4+BV4+BZ4+CK4+CM4+DA4+DJ4+DL4+DN4+DP4+DR4+DU4+DW4+DY4+EA4+DC4+BL4+AJ4</f>
        <v>16</v>
      </c>
    </row>
    <row r="5" spans="1:142" s="17" customFormat="1" ht="18" customHeight="1" x14ac:dyDescent="0.25">
      <c r="A5" s="97" t="s">
        <v>66</v>
      </c>
      <c r="B5" s="68">
        <v>815.9</v>
      </c>
      <c r="C5" s="18">
        <v>18615.900000000001</v>
      </c>
      <c r="D5" s="18">
        <v>11903.9</v>
      </c>
      <c r="E5" s="43">
        <f t="shared" si="0"/>
        <v>0.12155840286054824</v>
      </c>
      <c r="F5" s="42" t="s">
        <v>7</v>
      </c>
      <c r="G5" s="40">
        <f>IF(E5&lt;=0.05,1,0)</f>
        <v>0</v>
      </c>
      <c r="H5" s="18">
        <v>0</v>
      </c>
      <c r="I5" s="18">
        <v>23317.200000000001</v>
      </c>
      <c r="J5" s="18">
        <v>13524</v>
      </c>
      <c r="K5" s="18">
        <v>0</v>
      </c>
      <c r="L5" s="52">
        <f t="shared" si="1"/>
        <v>0</v>
      </c>
      <c r="M5" s="42" t="s">
        <v>10</v>
      </c>
      <c r="N5" s="39">
        <f>IF(L5&lt;=0.5,1,0)</f>
        <v>1</v>
      </c>
      <c r="O5" s="15"/>
      <c r="P5" s="15"/>
      <c r="Q5" s="52">
        <v>0</v>
      </c>
      <c r="R5" s="42" t="s">
        <v>11</v>
      </c>
      <c r="S5" s="39">
        <f t="shared" ref="S5:S12" si="27">IF(O5&lt;=1,1,0)</f>
        <v>1</v>
      </c>
      <c r="T5" s="18">
        <v>0</v>
      </c>
      <c r="U5" s="19">
        <v>19431.8</v>
      </c>
      <c r="V5" s="18">
        <f>241+0.2</f>
        <v>241.2</v>
      </c>
      <c r="W5" s="52">
        <f t="shared" si="2"/>
        <v>0</v>
      </c>
      <c r="X5" s="42" t="s">
        <v>9</v>
      </c>
      <c r="Y5" s="39">
        <f t="shared" si="3"/>
        <v>1</v>
      </c>
      <c r="Z5" s="18">
        <v>0</v>
      </c>
      <c r="AA5" s="68">
        <v>815.9</v>
      </c>
      <c r="AB5" s="18">
        <v>0</v>
      </c>
      <c r="AC5" s="52">
        <v>0</v>
      </c>
      <c r="AD5" s="42" t="s">
        <v>11</v>
      </c>
      <c r="AE5" s="39">
        <f>IF(Z5&lt;=(AA5+AB5),1,0)</f>
        <v>1</v>
      </c>
      <c r="AF5" s="18">
        <v>4600</v>
      </c>
      <c r="AG5" s="18">
        <v>0</v>
      </c>
      <c r="AH5" s="52" t="e">
        <f t="shared" si="5"/>
        <v>#DIV/0!</v>
      </c>
      <c r="AI5" s="42" t="s">
        <v>11</v>
      </c>
      <c r="AJ5" s="39">
        <v>1</v>
      </c>
      <c r="AK5" s="18">
        <v>0</v>
      </c>
      <c r="AL5" s="42">
        <f t="shared" ref="AL5:AL12" si="28">AK5</f>
        <v>0</v>
      </c>
      <c r="AM5" s="42">
        <v>0</v>
      </c>
      <c r="AN5" s="39">
        <f t="shared" ref="AN5:AN12" si="29">IF(AL5&gt;0,-1,0)</f>
        <v>0</v>
      </c>
      <c r="AO5" s="18"/>
      <c r="AP5" s="39">
        <f t="shared" ref="AP5:AP12" si="30">IF(ISBLANK(AO5),0,-1)</f>
        <v>0</v>
      </c>
      <c r="AQ5" s="19">
        <v>19431.8</v>
      </c>
      <c r="AR5" s="18">
        <f>AQ5-10553.2</f>
        <v>8878.5999999999985</v>
      </c>
      <c r="AS5" s="52">
        <f t="shared" si="6"/>
        <v>2.1886108170207019</v>
      </c>
      <c r="AT5" s="39">
        <f t="shared" si="7"/>
        <v>5</v>
      </c>
      <c r="AU5" s="46"/>
      <c r="AV5" s="39">
        <f t="shared" ref="AV5:AV12" si="31">IF(ISBLANK(AU5),0,-1)</f>
        <v>0</v>
      </c>
      <c r="AW5" s="46"/>
      <c r="AX5" s="39">
        <f t="shared" ref="AX5:AX12" si="32">IF(ISBLANK(AW5),0,-1)</f>
        <v>0</v>
      </c>
      <c r="AY5" s="84"/>
      <c r="AZ5" s="39">
        <f t="shared" ref="AZ5:AZ12" si="33">IF(ISBLANK(AY5),0,-1)</f>
        <v>0</v>
      </c>
      <c r="BA5" s="18">
        <v>9793.2000000000007</v>
      </c>
      <c r="BB5" s="18">
        <v>9449.4</v>
      </c>
      <c r="BC5" s="52">
        <f t="shared" si="8"/>
        <v>1.0363832624293607</v>
      </c>
      <c r="BD5" s="39">
        <f t="shared" si="9"/>
        <v>1</v>
      </c>
      <c r="BE5" s="18">
        <v>6712</v>
      </c>
      <c r="BF5" s="18">
        <v>6712</v>
      </c>
      <c r="BG5" s="52">
        <f t="shared" si="10"/>
        <v>1</v>
      </c>
      <c r="BH5" s="14">
        <f t="shared" ref="BH5:BH12" si="34">IF(AND(BG5&gt;=0.98,BG5&lt;=1.02),1,0)</f>
        <v>1</v>
      </c>
      <c r="BI5" s="18">
        <v>5398.4</v>
      </c>
      <c r="BJ5" s="18">
        <v>8244.7999999999993</v>
      </c>
      <c r="BK5" s="55">
        <f t="shared" si="11"/>
        <v>0.65476421502037652</v>
      </c>
      <c r="BL5" s="14">
        <f t="shared" ref="BL5:BL12" si="35">IF(AND(0.9&lt;=BK5,BK5&lt;=1.1),0,-1)</f>
        <v>-1</v>
      </c>
      <c r="BM5" s="18">
        <v>0</v>
      </c>
      <c r="BN5" s="18">
        <v>0</v>
      </c>
      <c r="BO5" s="18">
        <v>0</v>
      </c>
      <c r="BP5" s="18">
        <v>0</v>
      </c>
      <c r="BQ5" s="52" t="e">
        <f t="shared" si="12"/>
        <v>#DIV/0!</v>
      </c>
      <c r="BR5" s="14" t="e">
        <f t="shared" si="13"/>
        <v>#DIV/0!</v>
      </c>
      <c r="BS5" s="62">
        <v>0</v>
      </c>
      <c r="BT5" s="62">
        <v>0</v>
      </c>
      <c r="BU5" s="60">
        <f t="shared" si="14"/>
        <v>0</v>
      </c>
      <c r="BV5" s="59">
        <f t="shared" ref="BV5:BV12" si="36">IF(BU5&gt;=1,0,1)</f>
        <v>1</v>
      </c>
      <c r="BW5" s="18">
        <v>5398.4</v>
      </c>
      <c r="BX5" s="18">
        <v>4871.3</v>
      </c>
      <c r="BY5" s="85">
        <f t="shared" ref="BY5:BY12" si="37">BW5-BX5</f>
        <v>527.09999999999945</v>
      </c>
      <c r="BZ5" s="59">
        <f t="shared" ref="BZ5:BZ12" si="38">IF(BY5&gt;=1,0,-1)</f>
        <v>0</v>
      </c>
      <c r="CA5" s="18">
        <v>0</v>
      </c>
      <c r="CB5" s="18">
        <v>0</v>
      </c>
      <c r="CC5" s="18">
        <v>0</v>
      </c>
      <c r="CD5" s="18">
        <v>0</v>
      </c>
      <c r="CE5" s="44" t="e">
        <f t="shared" si="15"/>
        <v>#DIV/0!</v>
      </c>
      <c r="CF5" s="14" t="e">
        <f t="shared" ref="CF5:CF12" si="39">IF(AND(CE5&gt;=0.7,CE5&lt;=1.3),1,IF(OR(AND(CE5&gt;=0.5,CE5&lt;0.7),AND(CE5&gt;1.35,CE5&lt;=1.5)),0.5,0))</f>
        <v>#DIV/0!</v>
      </c>
      <c r="CG5" s="82">
        <v>41.3</v>
      </c>
      <c r="CH5" s="82">
        <v>24.5</v>
      </c>
      <c r="CI5" s="51">
        <f t="shared" ref="CI5:CI12" si="40">CG5-CH5</f>
        <v>16.799999999999997</v>
      </c>
      <c r="CJ5" s="51">
        <f t="shared" ref="CJ5:CJ12" si="41">CG5/CH5</f>
        <v>1.6857142857142855</v>
      </c>
      <c r="CK5" s="14">
        <v>-1</v>
      </c>
      <c r="CL5" s="15"/>
      <c r="CM5" s="14">
        <f t="shared" ref="CM5:CM12" si="42">IF(ISBLANK(CL5),0,-1)</f>
        <v>0</v>
      </c>
      <c r="CN5" s="18">
        <v>0</v>
      </c>
      <c r="CO5" s="18">
        <v>0</v>
      </c>
      <c r="CP5" s="18">
        <v>0</v>
      </c>
      <c r="CQ5" s="18">
        <v>0</v>
      </c>
      <c r="CR5" s="45" t="e">
        <f>(CN5/CO5)/(CP5/CQ5)</f>
        <v>#DIV/0!</v>
      </c>
      <c r="CS5" s="23" t="e">
        <f t="shared" ref="CS5:CS12" si="43">IF(CR5&lt;=1,1,0)</f>
        <v>#DIV/0!</v>
      </c>
      <c r="CT5" s="18">
        <v>0</v>
      </c>
      <c r="CU5" s="18">
        <v>0</v>
      </c>
      <c r="CV5" s="18">
        <v>0</v>
      </c>
      <c r="CW5" s="18">
        <v>0</v>
      </c>
      <c r="CX5" s="52" t="e">
        <f t="shared" si="16"/>
        <v>#DIV/0!</v>
      </c>
      <c r="CY5" s="14">
        <f t="shared" si="17"/>
        <v>1</v>
      </c>
      <c r="CZ5" s="15"/>
      <c r="DA5" s="14">
        <f t="shared" ref="DA5:DA12" si="44">IF(ISBLANK(CZ5),0,-1)</f>
        <v>0</v>
      </c>
      <c r="DB5" s="46"/>
      <c r="DC5" s="14">
        <f t="shared" si="18"/>
        <v>0</v>
      </c>
      <c r="DD5" s="49" t="s">
        <v>81</v>
      </c>
      <c r="DE5" s="49" t="s">
        <v>81</v>
      </c>
      <c r="DF5" s="49" t="s">
        <v>81</v>
      </c>
      <c r="DG5" s="49" t="s">
        <v>81</v>
      </c>
      <c r="DH5" s="49" t="s">
        <v>81</v>
      </c>
      <c r="DI5" s="42">
        <f t="shared" si="19"/>
        <v>5</v>
      </c>
      <c r="DJ5" s="14">
        <f t="shared" si="20"/>
        <v>1</v>
      </c>
      <c r="DK5" s="49" t="s">
        <v>131</v>
      </c>
      <c r="DL5" s="14">
        <f t="shared" si="21"/>
        <v>0.5</v>
      </c>
      <c r="DM5" s="49" t="s">
        <v>91</v>
      </c>
      <c r="DN5" s="14">
        <f t="shared" ref="DN5:DN12" si="45">IF(ISBLANK(DM5),0,0.5)</f>
        <v>0.5</v>
      </c>
      <c r="DO5" s="49" t="s">
        <v>172</v>
      </c>
      <c r="DP5" s="14">
        <f t="shared" si="22"/>
        <v>0.5</v>
      </c>
      <c r="DQ5" s="47" t="s">
        <v>81</v>
      </c>
      <c r="DR5" s="14">
        <f>IF(ISBLANK(DQ5),0,0.5)</f>
        <v>0.5</v>
      </c>
      <c r="DS5" s="65" t="s">
        <v>169</v>
      </c>
      <c r="DT5" s="65" t="s">
        <v>167</v>
      </c>
      <c r="DU5" s="14">
        <f t="shared" si="23"/>
        <v>0.5</v>
      </c>
      <c r="DV5" s="49" t="s">
        <v>181</v>
      </c>
      <c r="DW5" s="14">
        <f>IF(ISBLANK(DV5),0,0.5)</f>
        <v>0.5</v>
      </c>
      <c r="DX5" s="66" t="s">
        <v>182</v>
      </c>
      <c r="DY5" s="14">
        <f t="shared" si="25"/>
        <v>0.5</v>
      </c>
      <c r="DZ5" s="49" t="s">
        <v>81</v>
      </c>
      <c r="EA5" s="14">
        <f t="shared" ref="EA5:EA11" si="46">IF(ISBLANK(DZ5),0,1)</f>
        <v>1</v>
      </c>
      <c r="EB5" s="16">
        <v>26.5</v>
      </c>
      <c r="EC5" s="16">
        <v>-5</v>
      </c>
      <c r="ED5" s="54" t="e">
        <f>G5+N5+S5+Y5+AE5+AJ5+AN5+#REF!+AP5+AT5+AV5+AX5+AZ5+BD5+BH5+BL5+#REF!+CF5+CK5+CM5+CS5+CY5+DA5+#REF!+DJ5+#REF!+#REF!+#REF!+DL5+#REF!+DN5+DP5+DR5+DU5+DW5+DY5+EA5</f>
        <v>#REF!</v>
      </c>
      <c r="EE5" s="83">
        <f>G5+N5+Y5+AE5++AN5+AP5+AT5+AV5+AX5+AZ5+BD5+BH5+BV5+BZ5+CK5+CM5+DA5+DJ5+DL5+DN5+DP5+DR5+DU5+DW5+DY5+EA5+DC5+BL5+AJ5</f>
        <v>15.5</v>
      </c>
    </row>
    <row r="6" spans="1:142" s="21" customFormat="1" ht="17.25" customHeight="1" x14ac:dyDescent="0.25">
      <c r="A6" s="97" t="s">
        <v>67</v>
      </c>
      <c r="B6" s="68">
        <v>0</v>
      </c>
      <c r="C6" s="18">
        <v>7226.1</v>
      </c>
      <c r="D6" s="18">
        <v>4583.3999999999996</v>
      </c>
      <c r="E6" s="43">
        <f t="shared" si="0"/>
        <v>0</v>
      </c>
      <c r="F6" s="42" t="s">
        <v>7</v>
      </c>
      <c r="G6" s="40">
        <f>IF(E6&lt;=0.05,1,0)</f>
        <v>1</v>
      </c>
      <c r="H6" s="18">
        <v>0</v>
      </c>
      <c r="I6" s="18">
        <v>9128.2999999999993</v>
      </c>
      <c r="J6" s="50">
        <v>5929.3</v>
      </c>
      <c r="K6" s="18">
        <v>0</v>
      </c>
      <c r="L6" s="52">
        <f t="shared" si="1"/>
        <v>0</v>
      </c>
      <c r="M6" s="42" t="s">
        <v>10</v>
      </c>
      <c r="N6" s="39">
        <f>IF(L6&lt;=0.5,1,0)</f>
        <v>1</v>
      </c>
      <c r="O6" s="18"/>
      <c r="P6" s="18"/>
      <c r="Q6" s="52">
        <v>0</v>
      </c>
      <c r="R6" s="42" t="s">
        <v>11</v>
      </c>
      <c r="S6" s="39">
        <f t="shared" si="27"/>
        <v>1</v>
      </c>
      <c r="T6" s="18">
        <v>0</v>
      </c>
      <c r="U6" s="19">
        <v>7008.8</v>
      </c>
      <c r="V6" s="18">
        <v>113.7</v>
      </c>
      <c r="W6" s="52">
        <f>T6/(U6-V6)</f>
        <v>0</v>
      </c>
      <c r="X6" s="42" t="s">
        <v>9</v>
      </c>
      <c r="Y6" s="39">
        <f t="shared" si="3"/>
        <v>1</v>
      </c>
      <c r="Z6" s="18">
        <v>0</v>
      </c>
      <c r="AA6" s="68">
        <v>0</v>
      </c>
      <c r="AB6" s="18">
        <v>0</v>
      </c>
      <c r="AC6" s="52">
        <v>0</v>
      </c>
      <c r="AD6" s="42" t="s">
        <v>11</v>
      </c>
      <c r="AE6" s="39">
        <f>IF(Z6&lt;=(AA6+AB6),1,0)</f>
        <v>1</v>
      </c>
      <c r="AF6" s="18">
        <v>2581</v>
      </c>
      <c r="AG6" s="18">
        <v>3042</v>
      </c>
      <c r="AH6" s="52">
        <f t="shared" si="5"/>
        <v>0.84845496383957919</v>
      </c>
      <c r="AI6" s="42" t="s">
        <v>11</v>
      </c>
      <c r="AJ6" s="39">
        <f t="shared" ref="AJ6:AJ12" si="47">IF(AH6&lt;=1,1,0)</f>
        <v>1</v>
      </c>
      <c r="AK6" s="18">
        <v>0</v>
      </c>
      <c r="AL6" s="42">
        <f t="shared" si="28"/>
        <v>0</v>
      </c>
      <c r="AM6" s="42">
        <v>0</v>
      </c>
      <c r="AN6" s="39">
        <f t="shared" si="29"/>
        <v>0</v>
      </c>
      <c r="AO6" s="18">
        <v>1</v>
      </c>
      <c r="AP6" s="39">
        <f t="shared" si="30"/>
        <v>-1</v>
      </c>
      <c r="AQ6" s="19">
        <v>7008.8</v>
      </c>
      <c r="AR6" s="18">
        <f>AQ6-1361.5</f>
        <v>5647.3</v>
      </c>
      <c r="AS6" s="52">
        <f t="shared" si="6"/>
        <v>1.2410886618384007</v>
      </c>
      <c r="AT6" s="39">
        <f t="shared" si="7"/>
        <v>5</v>
      </c>
      <c r="AU6" s="46"/>
      <c r="AV6" s="39">
        <f t="shared" si="31"/>
        <v>0</v>
      </c>
      <c r="AW6" s="46"/>
      <c r="AX6" s="39">
        <f t="shared" si="32"/>
        <v>0</v>
      </c>
      <c r="AY6" s="84"/>
      <c r="AZ6" s="39">
        <f t="shared" si="33"/>
        <v>0</v>
      </c>
      <c r="BA6" s="18">
        <v>3199</v>
      </c>
      <c r="BB6" s="18">
        <v>2857.5</v>
      </c>
      <c r="BC6" s="52">
        <f t="shared" si="8"/>
        <v>1.1195100612423448</v>
      </c>
      <c r="BD6" s="39">
        <f t="shared" si="9"/>
        <v>0.5</v>
      </c>
      <c r="BE6" s="18">
        <v>2642.7</v>
      </c>
      <c r="BF6" s="18">
        <v>2642.7</v>
      </c>
      <c r="BG6" s="52">
        <f t="shared" si="10"/>
        <v>1</v>
      </c>
      <c r="BH6" s="14">
        <f t="shared" si="34"/>
        <v>1</v>
      </c>
      <c r="BI6" s="18">
        <v>2475.3000000000002</v>
      </c>
      <c r="BJ6" s="18">
        <v>2711.9</v>
      </c>
      <c r="BK6" s="55">
        <f t="shared" si="11"/>
        <v>0.91275489509200192</v>
      </c>
      <c r="BL6" s="14">
        <f t="shared" si="35"/>
        <v>0</v>
      </c>
      <c r="BM6" s="18">
        <v>0</v>
      </c>
      <c r="BN6" s="18">
        <v>0</v>
      </c>
      <c r="BO6" s="18">
        <v>0</v>
      </c>
      <c r="BP6" s="18">
        <v>0</v>
      </c>
      <c r="BQ6" s="52" t="e">
        <f t="shared" si="12"/>
        <v>#DIV/0!</v>
      </c>
      <c r="BR6" s="14" t="e">
        <f t="shared" si="13"/>
        <v>#DIV/0!</v>
      </c>
      <c r="BS6" s="62">
        <v>0</v>
      </c>
      <c r="BT6" s="62">
        <v>0</v>
      </c>
      <c r="BU6" s="60">
        <f t="shared" si="14"/>
        <v>0</v>
      </c>
      <c r="BV6" s="59">
        <f t="shared" si="36"/>
        <v>1</v>
      </c>
      <c r="BW6" s="18">
        <v>2475.3000000000002</v>
      </c>
      <c r="BX6" s="18">
        <v>1548.2</v>
      </c>
      <c r="BY6" s="85">
        <f t="shared" si="37"/>
        <v>927.10000000000014</v>
      </c>
      <c r="BZ6" s="59">
        <f t="shared" si="38"/>
        <v>0</v>
      </c>
      <c r="CA6" s="18">
        <v>0</v>
      </c>
      <c r="CB6" s="18">
        <v>0</v>
      </c>
      <c r="CC6" s="18">
        <v>0</v>
      </c>
      <c r="CD6" s="18">
        <v>0</v>
      </c>
      <c r="CE6" s="44" t="e">
        <f t="shared" si="15"/>
        <v>#DIV/0!</v>
      </c>
      <c r="CF6" s="14" t="e">
        <f t="shared" si="39"/>
        <v>#DIV/0!</v>
      </c>
      <c r="CG6" s="86">
        <v>0</v>
      </c>
      <c r="CH6" s="82">
        <v>0</v>
      </c>
      <c r="CI6" s="51">
        <f t="shared" si="40"/>
        <v>0</v>
      </c>
      <c r="CJ6" s="51" t="e">
        <f t="shared" si="41"/>
        <v>#DIV/0!</v>
      </c>
      <c r="CK6" s="14">
        <v>1</v>
      </c>
      <c r="CL6" s="18"/>
      <c r="CM6" s="14">
        <f t="shared" si="42"/>
        <v>0</v>
      </c>
      <c r="CN6" s="18">
        <v>0</v>
      </c>
      <c r="CO6" s="18">
        <v>0</v>
      </c>
      <c r="CP6" s="18">
        <v>0</v>
      </c>
      <c r="CQ6" s="18">
        <v>0</v>
      </c>
      <c r="CR6" s="44" t="e">
        <f t="shared" ref="CR6:CR12" si="48">(CN6/CO6)/(CP6/CQ6)</f>
        <v>#DIV/0!</v>
      </c>
      <c r="CS6" s="23" t="e">
        <f t="shared" si="43"/>
        <v>#DIV/0!</v>
      </c>
      <c r="CT6" s="18">
        <v>0</v>
      </c>
      <c r="CU6" s="18">
        <v>0</v>
      </c>
      <c r="CV6" s="18">
        <v>0</v>
      </c>
      <c r="CW6" s="18">
        <v>0</v>
      </c>
      <c r="CX6" s="52" t="e">
        <f t="shared" si="16"/>
        <v>#DIV/0!</v>
      </c>
      <c r="CY6" s="14">
        <f t="shared" si="17"/>
        <v>1</v>
      </c>
      <c r="CZ6" s="18"/>
      <c r="DA6" s="14">
        <f t="shared" si="44"/>
        <v>0</v>
      </c>
      <c r="DB6" s="46"/>
      <c r="DC6" s="14">
        <f t="shared" si="18"/>
        <v>0</v>
      </c>
      <c r="DD6" s="49" t="s">
        <v>81</v>
      </c>
      <c r="DE6" s="49" t="s">
        <v>81</v>
      </c>
      <c r="DF6" s="49" t="s">
        <v>81</v>
      </c>
      <c r="DG6" s="49" t="s">
        <v>81</v>
      </c>
      <c r="DH6" s="49" t="s">
        <v>81</v>
      </c>
      <c r="DI6" s="42">
        <f t="shared" si="19"/>
        <v>5</v>
      </c>
      <c r="DJ6" s="14">
        <f t="shared" si="20"/>
        <v>1</v>
      </c>
      <c r="DK6" s="49" t="s">
        <v>93</v>
      </c>
      <c r="DL6" s="14">
        <f t="shared" si="21"/>
        <v>0.5</v>
      </c>
      <c r="DM6" s="49" t="s">
        <v>103</v>
      </c>
      <c r="DN6" s="14">
        <f t="shared" si="45"/>
        <v>0.5</v>
      </c>
      <c r="DO6" s="49" t="s">
        <v>173</v>
      </c>
      <c r="DP6" s="14">
        <f t="shared" si="22"/>
        <v>0.5</v>
      </c>
      <c r="DQ6" s="47" t="s">
        <v>81</v>
      </c>
      <c r="DR6" s="14">
        <f>IF(ISBLANK(DQ6),0,0.5)</f>
        <v>0.5</v>
      </c>
      <c r="DS6" s="65" t="s">
        <v>170</v>
      </c>
      <c r="DT6" s="65" t="s">
        <v>167</v>
      </c>
      <c r="DU6" s="14">
        <f t="shared" si="23"/>
        <v>0.5</v>
      </c>
      <c r="DV6" s="49" t="s">
        <v>174</v>
      </c>
      <c r="DW6" s="14">
        <f t="shared" si="24"/>
        <v>0.5</v>
      </c>
      <c r="DX6" s="66"/>
      <c r="DY6" s="14">
        <f t="shared" si="25"/>
        <v>0</v>
      </c>
      <c r="DZ6" s="49" t="s">
        <v>81</v>
      </c>
      <c r="EA6" s="14">
        <f t="shared" si="46"/>
        <v>1</v>
      </c>
      <c r="EB6" s="20">
        <v>26.5</v>
      </c>
      <c r="EC6" s="20">
        <v>-5</v>
      </c>
      <c r="ED6" s="54" t="e">
        <f>G6+N6+S6+Y6+AE6+AJ6+AN6+#REF!+AP6+AT6+AV6+AX6+AZ6+BD6+BH6+BL6+#REF!+CF6+CK6+CM6+CS6+CY6+DA6+#REF!+DJ6+#REF!+#REF!+#REF!+DL6+#REF!+DN6+DP6+DR6+DU6+DW6+DY6+EA6</f>
        <v>#REF!</v>
      </c>
      <c r="EE6" s="83">
        <f t="shared" si="26"/>
        <v>17.5</v>
      </c>
    </row>
    <row r="7" spans="1:142" s="17" customFormat="1" ht="18.75" customHeight="1" x14ac:dyDescent="0.25">
      <c r="A7" s="97" t="s">
        <v>95</v>
      </c>
      <c r="B7" s="68">
        <v>0</v>
      </c>
      <c r="C7" s="19">
        <v>13994.5</v>
      </c>
      <c r="D7" s="18">
        <v>10305</v>
      </c>
      <c r="E7" s="43">
        <f t="shared" si="0"/>
        <v>0</v>
      </c>
      <c r="F7" s="42" t="s">
        <v>7</v>
      </c>
      <c r="G7" s="40">
        <f>IF(E7&lt;=0.05,1,0)</f>
        <v>1</v>
      </c>
      <c r="H7" s="18">
        <v>0</v>
      </c>
      <c r="I7" s="18">
        <v>17292</v>
      </c>
      <c r="J7" s="18">
        <v>12862.3</v>
      </c>
      <c r="K7" s="18">
        <v>0</v>
      </c>
      <c r="L7" s="52">
        <f t="shared" si="1"/>
        <v>0</v>
      </c>
      <c r="M7" s="42" t="s">
        <v>10</v>
      </c>
      <c r="N7" s="39">
        <f>IF(L7&lt;=0.5,1,0)</f>
        <v>1</v>
      </c>
      <c r="O7" s="15"/>
      <c r="P7" s="15"/>
      <c r="Q7" s="52">
        <v>0</v>
      </c>
      <c r="R7" s="42" t="s">
        <v>11</v>
      </c>
      <c r="S7" s="39">
        <f t="shared" si="27"/>
        <v>1</v>
      </c>
      <c r="T7" s="18">
        <v>0</v>
      </c>
      <c r="U7" s="19">
        <v>11970.6</v>
      </c>
      <c r="V7" s="18">
        <v>113.8</v>
      </c>
      <c r="W7" s="52">
        <f t="shared" si="2"/>
        <v>0</v>
      </c>
      <c r="X7" s="42" t="s">
        <v>9</v>
      </c>
      <c r="Y7" s="39">
        <f t="shared" si="3"/>
        <v>1</v>
      </c>
      <c r="Z7" s="18">
        <v>0</v>
      </c>
      <c r="AA7" s="68">
        <v>0</v>
      </c>
      <c r="AB7" s="18">
        <v>0</v>
      </c>
      <c r="AC7" s="52">
        <v>0</v>
      </c>
      <c r="AD7" s="42" t="s">
        <v>11</v>
      </c>
      <c r="AE7" s="39">
        <f t="shared" si="4"/>
        <v>1</v>
      </c>
      <c r="AF7" s="18">
        <v>2634.5</v>
      </c>
      <c r="AG7" s="18">
        <v>2937</v>
      </c>
      <c r="AH7" s="52">
        <f t="shared" si="5"/>
        <v>0.89700374531835203</v>
      </c>
      <c r="AI7" s="42" t="s">
        <v>11</v>
      </c>
      <c r="AJ7" s="39">
        <f t="shared" si="47"/>
        <v>1</v>
      </c>
      <c r="AK7" s="18">
        <v>0</v>
      </c>
      <c r="AL7" s="42">
        <f t="shared" si="28"/>
        <v>0</v>
      </c>
      <c r="AM7" s="42">
        <v>0</v>
      </c>
      <c r="AN7" s="39">
        <f t="shared" si="29"/>
        <v>0</v>
      </c>
      <c r="AO7" s="18"/>
      <c r="AP7" s="39">
        <f t="shared" si="30"/>
        <v>0</v>
      </c>
      <c r="AQ7" s="19">
        <v>11970.6</v>
      </c>
      <c r="AR7" s="18">
        <f>AQ7-4825.5</f>
        <v>7145.1</v>
      </c>
      <c r="AS7" s="52">
        <f t="shared" si="6"/>
        <v>1.6753579376075911</v>
      </c>
      <c r="AT7" s="39">
        <f t="shared" si="7"/>
        <v>5</v>
      </c>
      <c r="AU7" s="46"/>
      <c r="AV7" s="39">
        <f t="shared" si="31"/>
        <v>0</v>
      </c>
      <c r="AW7" s="46"/>
      <c r="AX7" s="39">
        <f t="shared" si="32"/>
        <v>0</v>
      </c>
      <c r="AY7" s="84"/>
      <c r="AZ7" s="39">
        <f t="shared" si="33"/>
        <v>0</v>
      </c>
      <c r="BA7" s="18">
        <v>4429.7</v>
      </c>
      <c r="BB7" s="18">
        <v>4487.8</v>
      </c>
      <c r="BC7" s="52">
        <f t="shared" si="8"/>
        <v>0.98705379027585893</v>
      </c>
      <c r="BD7" s="39">
        <f t="shared" si="9"/>
        <v>1</v>
      </c>
      <c r="BE7" s="18">
        <v>3689.5</v>
      </c>
      <c r="BF7" s="18">
        <v>3689.5</v>
      </c>
      <c r="BG7" s="52">
        <f t="shared" si="10"/>
        <v>1</v>
      </c>
      <c r="BH7" s="14">
        <f t="shared" si="34"/>
        <v>1</v>
      </c>
      <c r="BI7" s="18">
        <v>2324.1999999999998</v>
      </c>
      <c r="BJ7" s="18">
        <v>3008.5</v>
      </c>
      <c r="BK7" s="55">
        <f>BI7/BJ7</f>
        <v>0.7725444573707827</v>
      </c>
      <c r="BL7" s="14">
        <f t="shared" si="35"/>
        <v>-1</v>
      </c>
      <c r="BM7" s="18">
        <v>0</v>
      </c>
      <c r="BN7" s="18">
        <v>0</v>
      </c>
      <c r="BO7" s="18">
        <v>0</v>
      </c>
      <c r="BP7" s="18">
        <v>0</v>
      </c>
      <c r="BQ7" s="52" t="e">
        <f t="shared" si="12"/>
        <v>#DIV/0!</v>
      </c>
      <c r="BR7" s="14" t="e">
        <f t="shared" si="13"/>
        <v>#DIV/0!</v>
      </c>
      <c r="BS7" s="62">
        <v>0</v>
      </c>
      <c r="BT7" s="62">
        <v>0</v>
      </c>
      <c r="BU7" s="60">
        <f t="shared" si="14"/>
        <v>0</v>
      </c>
      <c r="BV7" s="59">
        <f t="shared" si="36"/>
        <v>1</v>
      </c>
      <c r="BW7" s="18">
        <v>2324.1999999999998</v>
      </c>
      <c r="BX7" s="18">
        <v>1896.6</v>
      </c>
      <c r="BY7" s="85">
        <f t="shared" si="37"/>
        <v>427.59999999999991</v>
      </c>
      <c r="BZ7" s="59">
        <f t="shared" si="38"/>
        <v>0</v>
      </c>
      <c r="CA7" s="18">
        <v>0</v>
      </c>
      <c r="CB7" s="18">
        <v>0</v>
      </c>
      <c r="CC7" s="18">
        <v>0</v>
      </c>
      <c r="CD7" s="18">
        <v>0</v>
      </c>
      <c r="CE7" s="44" t="e">
        <f t="shared" si="15"/>
        <v>#DIV/0!</v>
      </c>
      <c r="CF7" s="14" t="e">
        <f t="shared" si="39"/>
        <v>#DIV/0!</v>
      </c>
      <c r="CG7" s="82">
        <v>0</v>
      </c>
      <c r="CH7" s="82">
        <v>0</v>
      </c>
      <c r="CI7" s="51">
        <f t="shared" si="40"/>
        <v>0</v>
      </c>
      <c r="CJ7" s="51" t="e">
        <f t="shared" si="41"/>
        <v>#DIV/0!</v>
      </c>
      <c r="CK7" s="14">
        <v>1</v>
      </c>
      <c r="CL7" s="15"/>
      <c r="CM7" s="14">
        <f t="shared" si="42"/>
        <v>0</v>
      </c>
      <c r="CN7" s="18">
        <v>0</v>
      </c>
      <c r="CO7" s="18">
        <v>0</v>
      </c>
      <c r="CP7" s="18">
        <v>0</v>
      </c>
      <c r="CQ7" s="18">
        <v>0</v>
      </c>
      <c r="CR7" s="44" t="e">
        <f t="shared" si="48"/>
        <v>#DIV/0!</v>
      </c>
      <c r="CS7" s="23" t="e">
        <f t="shared" si="43"/>
        <v>#DIV/0!</v>
      </c>
      <c r="CT7" s="18">
        <v>0</v>
      </c>
      <c r="CU7" s="18">
        <v>0</v>
      </c>
      <c r="CV7" s="18">
        <v>0</v>
      </c>
      <c r="CW7" s="18">
        <v>0</v>
      </c>
      <c r="CX7" s="52" t="e">
        <f t="shared" si="16"/>
        <v>#DIV/0!</v>
      </c>
      <c r="CY7" s="14">
        <f t="shared" si="17"/>
        <v>1</v>
      </c>
      <c r="CZ7" s="15"/>
      <c r="DA7" s="14">
        <f t="shared" si="44"/>
        <v>0</v>
      </c>
      <c r="DB7" s="46"/>
      <c r="DC7" s="14">
        <f t="shared" si="18"/>
        <v>0</v>
      </c>
      <c r="DD7" s="49" t="s">
        <v>81</v>
      </c>
      <c r="DE7" s="49" t="s">
        <v>81</v>
      </c>
      <c r="DF7" s="49" t="s">
        <v>81</v>
      </c>
      <c r="DG7" s="49" t="s">
        <v>81</v>
      </c>
      <c r="DH7" s="49" t="s">
        <v>81</v>
      </c>
      <c r="DI7" s="42">
        <f t="shared" si="19"/>
        <v>5</v>
      </c>
      <c r="DJ7" s="14">
        <f t="shared" si="20"/>
        <v>1</v>
      </c>
      <c r="DK7" s="49" t="s">
        <v>86</v>
      </c>
      <c r="DL7" s="14">
        <f t="shared" si="21"/>
        <v>0.5</v>
      </c>
      <c r="DM7" s="49" t="s">
        <v>82</v>
      </c>
      <c r="DN7" s="14">
        <f t="shared" si="45"/>
        <v>0.5</v>
      </c>
      <c r="DO7" s="49" t="s">
        <v>175</v>
      </c>
      <c r="DP7" s="14">
        <f t="shared" si="22"/>
        <v>0.5</v>
      </c>
      <c r="DQ7" s="47" t="s">
        <v>81</v>
      </c>
      <c r="DR7" s="14">
        <f t="shared" ref="DR7:DR12" si="49">IF(ISBLANK(DQ7),0,0.5)</f>
        <v>0.5</v>
      </c>
      <c r="DS7" s="78" t="s">
        <v>171</v>
      </c>
      <c r="DT7" s="65" t="s">
        <v>167</v>
      </c>
      <c r="DU7" s="14">
        <f>IF(ISBLANK(DT7),0,0.5)</f>
        <v>0.5</v>
      </c>
      <c r="DV7" s="49" t="s">
        <v>176</v>
      </c>
      <c r="DW7" s="14">
        <f t="shared" si="24"/>
        <v>0.5</v>
      </c>
      <c r="DX7" s="49" t="s">
        <v>184</v>
      </c>
      <c r="DY7" s="14">
        <f t="shared" si="25"/>
        <v>0.5</v>
      </c>
      <c r="DZ7" s="49"/>
      <c r="EA7" s="14">
        <f t="shared" si="46"/>
        <v>0</v>
      </c>
      <c r="EB7" s="16">
        <v>26.5</v>
      </c>
      <c r="EC7" s="16">
        <v>-5</v>
      </c>
      <c r="ED7" s="54" t="e">
        <f>G7+N7+S7+Y7+AE7+AJ7+AN7+#REF!+AP7+AT7+AV7+AX7+AZ7+BD7+BH7+BL7+#REF!+CF7+CK7+CM7+CS7+CY7+DA7+#REF!+DJ7+#REF!+#REF!+#REF!+DL7+#REF!+DN7+DP7+DR7+DU7+DW7+DY7+EA7</f>
        <v>#REF!</v>
      </c>
      <c r="EE7" s="83">
        <f t="shared" si="26"/>
        <v>17.5</v>
      </c>
    </row>
    <row r="8" spans="1:142" s="22" customFormat="1" ht="17.25" customHeight="1" x14ac:dyDescent="0.25">
      <c r="A8" s="97" t="s">
        <v>100</v>
      </c>
      <c r="B8" s="68">
        <v>649.6</v>
      </c>
      <c r="C8" s="19">
        <v>11115.3</v>
      </c>
      <c r="D8" s="18">
        <v>8711.7999999999993</v>
      </c>
      <c r="E8" s="43">
        <f t="shared" si="0"/>
        <v>0.27027251924277096</v>
      </c>
      <c r="F8" s="42" t="s">
        <v>8</v>
      </c>
      <c r="G8" s="40">
        <f>IF(E8&lt;=0.1,1,0)</f>
        <v>0</v>
      </c>
      <c r="H8" s="18">
        <v>0</v>
      </c>
      <c r="I8" s="18">
        <v>13323.7</v>
      </c>
      <c r="J8" s="18">
        <v>10459.200000000001</v>
      </c>
      <c r="K8" s="18">
        <v>0</v>
      </c>
      <c r="L8" s="52">
        <f t="shared" si="1"/>
        <v>0</v>
      </c>
      <c r="M8" s="42" t="s">
        <v>11</v>
      </c>
      <c r="N8" s="39">
        <f>IF(L8&lt;=1,1,0)</f>
        <v>1</v>
      </c>
      <c r="O8" s="15"/>
      <c r="P8" s="15"/>
      <c r="Q8" s="52">
        <v>0</v>
      </c>
      <c r="R8" s="42" t="s">
        <v>11</v>
      </c>
      <c r="S8" s="39">
        <f t="shared" si="27"/>
        <v>1</v>
      </c>
      <c r="T8" s="18">
        <v>0</v>
      </c>
      <c r="U8" s="19">
        <v>11764.9</v>
      </c>
      <c r="V8" s="18">
        <v>108.3</v>
      </c>
      <c r="W8" s="52">
        <f t="shared" si="2"/>
        <v>0</v>
      </c>
      <c r="X8" s="42" t="s">
        <v>9</v>
      </c>
      <c r="Y8" s="39">
        <f t="shared" si="3"/>
        <v>1</v>
      </c>
      <c r="Z8" s="18">
        <v>0</v>
      </c>
      <c r="AA8" s="68">
        <v>649.6</v>
      </c>
      <c r="AB8" s="18">
        <v>0</v>
      </c>
      <c r="AC8" s="52">
        <v>0</v>
      </c>
      <c r="AD8" s="42" t="s">
        <v>11</v>
      </c>
      <c r="AE8" s="39">
        <f t="shared" si="4"/>
        <v>1</v>
      </c>
      <c r="AF8" s="18">
        <v>2812.9</v>
      </c>
      <c r="AG8" s="18">
        <v>3422</v>
      </c>
      <c r="AH8" s="52">
        <f t="shared" si="5"/>
        <v>0.82200467562828761</v>
      </c>
      <c r="AI8" s="42" t="s">
        <v>11</v>
      </c>
      <c r="AJ8" s="39">
        <f t="shared" si="47"/>
        <v>1</v>
      </c>
      <c r="AK8" s="18">
        <v>0</v>
      </c>
      <c r="AL8" s="42">
        <f t="shared" si="28"/>
        <v>0</v>
      </c>
      <c r="AM8" s="42">
        <v>0</v>
      </c>
      <c r="AN8" s="39">
        <f t="shared" si="29"/>
        <v>0</v>
      </c>
      <c r="AO8" s="18">
        <v>1</v>
      </c>
      <c r="AP8" s="39">
        <f t="shared" si="30"/>
        <v>-1</v>
      </c>
      <c r="AQ8" s="19">
        <v>11764.9</v>
      </c>
      <c r="AR8" s="68">
        <f>AQ8-2579.6</f>
        <v>9185.2999999999993</v>
      </c>
      <c r="AS8" s="52">
        <f t="shared" si="6"/>
        <v>1.2808400378866232</v>
      </c>
      <c r="AT8" s="39">
        <f t="shared" si="7"/>
        <v>5</v>
      </c>
      <c r="AU8" s="46"/>
      <c r="AV8" s="39">
        <f t="shared" si="31"/>
        <v>0</v>
      </c>
      <c r="AW8" s="46"/>
      <c r="AX8" s="39">
        <f t="shared" si="32"/>
        <v>0</v>
      </c>
      <c r="AY8" s="84"/>
      <c r="AZ8" s="39">
        <f t="shared" si="33"/>
        <v>0</v>
      </c>
      <c r="BA8" s="18">
        <v>2864.6</v>
      </c>
      <c r="BB8" s="18">
        <v>1954.8</v>
      </c>
      <c r="BC8" s="52">
        <f t="shared" si="8"/>
        <v>1.4654184571311644</v>
      </c>
      <c r="BD8" s="39">
        <f>IF(AND(BC8&gt;=0.95,BC8&lt;=1.05),1,IF(OR(AND(BC8&gt;=0.85,BC8&lt;0.95),AND(BC8&gt;1.05,BC8&lt;=1.15)),0.5,0))</f>
        <v>0</v>
      </c>
      <c r="BE8" s="18">
        <v>2403.5</v>
      </c>
      <c r="BF8" s="18">
        <v>2403.5</v>
      </c>
      <c r="BG8" s="52">
        <f t="shared" si="10"/>
        <v>1</v>
      </c>
      <c r="BH8" s="14">
        <f t="shared" si="34"/>
        <v>1</v>
      </c>
      <c r="BI8" s="18">
        <v>1323.1</v>
      </c>
      <c r="BJ8" s="18">
        <v>1865.8</v>
      </c>
      <c r="BK8" s="55">
        <f t="shared" si="11"/>
        <v>0.70913281166255759</v>
      </c>
      <c r="BL8" s="14">
        <f t="shared" si="35"/>
        <v>-1</v>
      </c>
      <c r="BM8" s="18">
        <v>0</v>
      </c>
      <c r="BN8" s="18">
        <v>0</v>
      </c>
      <c r="BO8" s="18">
        <v>0</v>
      </c>
      <c r="BP8" s="18">
        <v>0</v>
      </c>
      <c r="BQ8" s="52" t="e">
        <f t="shared" si="12"/>
        <v>#DIV/0!</v>
      </c>
      <c r="BR8" s="14" t="e">
        <f t="shared" si="13"/>
        <v>#DIV/0!</v>
      </c>
      <c r="BS8" s="62">
        <v>0</v>
      </c>
      <c r="BT8" s="62">
        <v>0</v>
      </c>
      <c r="BU8" s="60">
        <f t="shared" si="14"/>
        <v>0</v>
      </c>
      <c r="BV8" s="59">
        <f t="shared" si="36"/>
        <v>1</v>
      </c>
      <c r="BW8" s="18">
        <v>1323.1</v>
      </c>
      <c r="BX8" s="18">
        <v>921.1</v>
      </c>
      <c r="BY8" s="85">
        <f t="shared" si="37"/>
        <v>401.99999999999989</v>
      </c>
      <c r="BZ8" s="59">
        <f t="shared" si="38"/>
        <v>0</v>
      </c>
      <c r="CA8" s="18">
        <v>0</v>
      </c>
      <c r="CB8" s="18">
        <v>0</v>
      </c>
      <c r="CC8" s="18">
        <v>0</v>
      </c>
      <c r="CD8" s="18">
        <v>0</v>
      </c>
      <c r="CE8" s="44" t="e">
        <f>CA8/((CB8+CC8+CD8)/3)</f>
        <v>#DIV/0!</v>
      </c>
      <c r="CF8" s="14" t="e">
        <f t="shared" si="39"/>
        <v>#DIV/0!</v>
      </c>
      <c r="CG8" s="82">
        <v>0</v>
      </c>
      <c r="CH8" s="82">
        <v>0</v>
      </c>
      <c r="CI8" s="51">
        <f t="shared" si="40"/>
        <v>0</v>
      </c>
      <c r="CJ8" s="51" t="e">
        <f t="shared" si="41"/>
        <v>#DIV/0!</v>
      </c>
      <c r="CK8" s="14">
        <v>1</v>
      </c>
      <c r="CL8" s="15"/>
      <c r="CM8" s="14">
        <f t="shared" si="42"/>
        <v>0</v>
      </c>
      <c r="CN8" s="18">
        <v>0</v>
      </c>
      <c r="CO8" s="18">
        <v>0</v>
      </c>
      <c r="CP8" s="18">
        <v>0</v>
      </c>
      <c r="CQ8" s="18">
        <v>0</v>
      </c>
      <c r="CR8" s="44" t="e">
        <f t="shared" si="48"/>
        <v>#DIV/0!</v>
      </c>
      <c r="CS8" s="23" t="e">
        <f t="shared" si="43"/>
        <v>#DIV/0!</v>
      </c>
      <c r="CT8" s="18">
        <v>0</v>
      </c>
      <c r="CU8" s="18">
        <v>0</v>
      </c>
      <c r="CV8" s="18">
        <v>0</v>
      </c>
      <c r="CW8" s="18">
        <v>0</v>
      </c>
      <c r="CX8" s="52" t="e">
        <f t="shared" si="16"/>
        <v>#DIV/0!</v>
      </c>
      <c r="CY8" s="14">
        <f t="shared" si="17"/>
        <v>1</v>
      </c>
      <c r="CZ8" s="15"/>
      <c r="DA8" s="14">
        <f t="shared" si="44"/>
        <v>0</v>
      </c>
      <c r="DB8" s="46"/>
      <c r="DC8" s="14">
        <f t="shared" si="18"/>
        <v>0</v>
      </c>
      <c r="DD8" s="49" t="s">
        <v>81</v>
      </c>
      <c r="DE8" s="49" t="s">
        <v>81</v>
      </c>
      <c r="DF8" s="49" t="s">
        <v>81</v>
      </c>
      <c r="DG8" s="49" t="s">
        <v>81</v>
      </c>
      <c r="DH8" s="49" t="s">
        <v>81</v>
      </c>
      <c r="DI8" s="63">
        <f>DD8+DE8+DF8+DG8+DH8</f>
        <v>5</v>
      </c>
      <c r="DJ8" s="14">
        <f t="shared" si="20"/>
        <v>1</v>
      </c>
      <c r="DK8" s="49" t="s">
        <v>88</v>
      </c>
      <c r="DL8" s="14">
        <f t="shared" si="21"/>
        <v>0.5</v>
      </c>
      <c r="DM8" s="49" t="s">
        <v>89</v>
      </c>
      <c r="DN8" s="14">
        <f t="shared" si="45"/>
        <v>0.5</v>
      </c>
      <c r="DO8" s="49" t="s">
        <v>177</v>
      </c>
      <c r="DP8" s="14">
        <f t="shared" si="22"/>
        <v>0.5</v>
      </c>
      <c r="DQ8" s="47" t="s">
        <v>81</v>
      </c>
      <c r="DR8" s="14">
        <f t="shared" si="49"/>
        <v>0.5</v>
      </c>
      <c r="DS8" s="78" t="s">
        <v>166</v>
      </c>
      <c r="DT8" s="65" t="s">
        <v>167</v>
      </c>
      <c r="DU8" s="14">
        <f t="shared" si="23"/>
        <v>0.5</v>
      </c>
      <c r="DV8" s="49"/>
      <c r="DW8" s="14">
        <f t="shared" si="24"/>
        <v>0</v>
      </c>
      <c r="DX8" s="66" t="s">
        <v>188</v>
      </c>
      <c r="DY8" s="14">
        <f t="shared" si="25"/>
        <v>0.5</v>
      </c>
      <c r="DZ8" s="49" t="s">
        <v>81</v>
      </c>
      <c r="EA8" s="14">
        <f t="shared" si="46"/>
        <v>1</v>
      </c>
      <c r="EB8" s="16">
        <v>26.5</v>
      </c>
      <c r="EC8" s="16">
        <v>-5</v>
      </c>
      <c r="ED8" s="54" t="e">
        <f>G8+N8+S8+Y8+AE8+AJ8+AN8+#REF!+AP8+AT8+AV8+AX8+AZ8+BD8+BH8+BL8+#REF!+CF8+CK8+CM8+CS8+CY8+DA8+#REF!+DJ8+#REF!+#REF!+#REF!+DL8+#REF!+DN8+DP8+DR8+DU8+DW8+DY8+EA8</f>
        <v>#REF!</v>
      </c>
      <c r="EE8" s="87">
        <f t="shared" si="26"/>
        <v>15</v>
      </c>
      <c r="EF8" s="17"/>
      <c r="EG8" s="17"/>
      <c r="EH8" s="17"/>
      <c r="EI8" s="17"/>
      <c r="EJ8" s="17"/>
      <c r="EK8" s="17"/>
      <c r="EL8" s="17"/>
    </row>
    <row r="9" spans="1:142" s="21" customFormat="1" ht="16.5" customHeight="1" x14ac:dyDescent="0.25">
      <c r="A9" s="97" t="s">
        <v>68</v>
      </c>
      <c r="B9" s="68">
        <v>0</v>
      </c>
      <c r="C9" s="19">
        <v>12128.1</v>
      </c>
      <c r="D9" s="18">
        <v>6614</v>
      </c>
      <c r="E9" s="43">
        <f t="shared" si="0"/>
        <v>0</v>
      </c>
      <c r="F9" s="42" t="s">
        <v>7</v>
      </c>
      <c r="G9" s="40">
        <f>IF(E9&lt;=0.1,1,0)</f>
        <v>1</v>
      </c>
      <c r="H9" s="18">
        <v>0</v>
      </c>
      <c r="I9" s="18">
        <v>17524.400000000001</v>
      </c>
      <c r="J9" s="18">
        <v>9496.6</v>
      </c>
      <c r="K9" s="18">
        <v>0</v>
      </c>
      <c r="L9" s="52">
        <f t="shared" si="1"/>
        <v>0</v>
      </c>
      <c r="M9" s="42" t="s">
        <v>10</v>
      </c>
      <c r="N9" s="39">
        <f>IF(L9&lt;=0.5,1,0)</f>
        <v>1</v>
      </c>
      <c r="O9" s="18"/>
      <c r="P9" s="18"/>
      <c r="Q9" s="52">
        <v>0</v>
      </c>
      <c r="R9" s="42" t="s">
        <v>11</v>
      </c>
      <c r="S9" s="39">
        <f t="shared" si="27"/>
        <v>1</v>
      </c>
      <c r="T9" s="18">
        <v>0</v>
      </c>
      <c r="U9" s="19">
        <v>11686.4</v>
      </c>
      <c r="V9" s="18">
        <v>108.7</v>
      </c>
      <c r="W9" s="52">
        <f t="shared" si="2"/>
        <v>0</v>
      </c>
      <c r="X9" s="42" t="s">
        <v>9</v>
      </c>
      <c r="Y9" s="39">
        <f t="shared" si="3"/>
        <v>1</v>
      </c>
      <c r="Z9" s="18">
        <v>0</v>
      </c>
      <c r="AA9" s="68">
        <v>0</v>
      </c>
      <c r="AB9" s="18">
        <v>0</v>
      </c>
      <c r="AC9" s="52">
        <v>0</v>
      </c>
      <c r="AD9" s="42" t="s">
        <v>11</v>
      </c>
      <c r="AE9" s="39">
        <f t="shared" si="4"/>
        <v>1</v>
      </c>
      <c r="AF9" s="18">
        <v>3031.7</v>
      </c>
      <c r="AG9" s="18">
        <v>0</v>
      </c>
      <c r="AH9" s="52" t="e">
        <f t="shared" si="5"/>
        <v>#DIV/0!</v>
      </c>
      <c r="AI9" s="42" t="s">
        <v>11</v>
      </c>
      <c r="AJ9" s="39">
        <v>1</v>
      </c>
      <c r="AK9" s="18">
        <v>0</v>
      </c>
      <c r="AL9" s="42">
        <f t="shared" si="28"/>
        <v>0</v>
      </c>
      <c r="AM9" s="42">
        <v>0</v>
      </c>
      <c r="AN9" s="39">
        <f t="shared" si="29"/>
        <v>0</v>
      </c>
      <c r="AO9" s="18"/>
      <c r="AP9" s="39">
        <f t="shared" si="30"/>
        <v>0</v>
      </c>
      <c r="AQ9" s="19">
        <v>11686.4</v>
      </c>
      <c r="AR9" s="18">
        <f>AQ9-1054.4</f>
        <v>10632</v>
      </c>
      <c r="AS9" s="52">
        <f t="shared" si="6"/>
        <v>1.0991723100075244</v>
      </c>
      <c r="AT9" s="39">
        <f t="shared" si="7"/>
        <v>5</v>
      </c>
      <c r="AU9" s="46"/>
      <c r="AV9" s="39">
        <f t="shared" si="31"/>
        <v>0</v>
      </c>
      <c r="AW9" s="46"/>
      <c r="AX9" s="39">
        <f t="shared" si="32"/>
        <v>0</v>
      </c>
      <c r="AY9" s="84">
        <v>1</v>
      </c>
      <c r="AZ9" s="39">
        <f t="shared" si="33"/>
        <v>-1</v>
      </c>
      <c r="BA9" s="18">
        <v>8027.8</v>
      </c>
      <c r="BB9" s="18">
        <v>8027.8</v>
      </c>
      <c r="BC9" s="52">
        <f t="shared" si="8"/>
        <v>1</v>
      </c>
      <c r="BD9" s="39">
        <f t="shared" si="9"/>
        <v>1</v>
      </c>
      <c r="BE9" s="18">
        <v>5514</v>
      </c>
      <c r="BF9" s="18">
        <v>5514</v>
      </c>
      <c r="BG9" s="52">
        <f t="shared" si="10"/>
        <v>1</v>
      </c>
      <c r="BH9" s="14">
        <f t="shared" si="34"/>
        <v>1</v>
      </c>
      <c r="BI9" s="18">
        <v>4063.2</v>
      </c>
      <c r="BJ9" s="18">
        <v>6485.1</v>
      </c>
      <c r="BK9" s="55">
        <f t="shared" si="11"/>
        <v>0.62654392376370438</v>
      </c>
      <c r="BL9" s="14">
        <f t="shared" si="35"/>
        <v>-1</v>
      </c>
      <c r="BM9" s="18">
        <v>0</v>
      </c>
      <c r="BN9" s="18">
        <v>0</v>
      </c>
      <c r="BO9" s="18">
        <v>0</v>
      </c>
      <c r="BP9" s="18">
        <v>0</v>
      </c>
      <c r="BQ9" s="52" t="e">
        <f t="shared" si="12"/>
        <v>#DIV/0!</v>
      </c>
      <c r="BR9" s="14" t="e">
        <f t="shared" si="13"/>
        <v>#DIV/0!</v>
      </c>
      <c r="BS9" s="62">
        <v>0</v>
      </c>
      <c r="BT9" s="62">
        <v>0</v>
      </c>
      <c r="BU9" s="60">
        <f t="shared" si="14"/>
        <v>0</v>
      </c>
      <c r="BV9" s="59">
        <f t="shared" si="36"/>
        <v>1</v>
      </c>
      <c r="BW9" s="18">
        <v>4063.2</v>
      </c>
      <c r="BX9" s="18">
        <v>3715.7</v>
      </c>
      <c r="BY9" s="85">
        <f t="shared" si="37"/>
        <v>347.5</v>
      </c>
      <c r="BZ9" s="59">
        <f t="shared" si="38"/>
        <v>0</v>
      </c>
      <c r="CA9" s="18">
        <v>0</v>
      </c>
      <c r="CB9" s="18">
        <v>0</v>
      </c>
      <c r="CC9" s="18">
        <v>0</v>
      </c>
      <c r="CD9" s="18">
        <v>0</v>
      </c>
      <c r="CE9" s="44" t="e">
        <f t="shared" si="15"/>
        <v>#DIV/0!</v>
      </c>
      <c r="CF9" s="14" t="e">
        <f t="shared" si="39"/>
        <v>#DIV/0!</v>
      </c>
      <c r="CG9" s="82">
        <v>22.7</v>
      </c>
      <c r="CH9" s="82">
        <v>12.9</v>
      </c>
      <c r="CI9" s="51">
        <f t="shared" si="40"/>
        <v>9.7999999999999989</v>
      </c>
      <c r="CJ9" s="51">
        <f t="shared" si="41"/>
        <v>1.75968992248062</v>
      </c>
      <c r="CK9" s="14">
        <v>0</v>
      </c>
      <c r="CL9" s="18"/>
      <c r="CM9" s="14">
        <f t="shared" si="42"/>
        <v>0</v>
      </c>
      <c r="CN9" s="18">
        <v>0</v>
      </c>
      <c r="CO9" s="18">
        <v>0</v>
      </c>
      <c r="CP9" s="18">
        <v>0</v>
      </c>
      <c r="CQ9" s="18">
        <v>0</v>
      </c>
      <c r="CR9" s="44" t="e">
        <f t="shared" si="48"/>
        <v>#DIV/0!</v>
      </c>
      <c r="CS9" s="23" t="e">
        <f t="shared" si="43"/>
        <v>#DIV/0!</v>
      </c>
      <c r="CT9" s="18">
        <v>0</v>
      </c>
      <c r="CU9" s="18">
        <v>0</v>
      </c>
      <c r="CV9" s="18">
        <v>0</v>
      </c>
      <c r="CW9" s="18">
        <v>0</v>
      </c>
      <c r="CX9" s="52" t="e">
        <f t="shared" si="16"/>
        <v>#DIV/0!</v>
      </c>
      <c r="CY9" s="14">
        <f t="shared" si="17"/>
        <v>1</v>
      </c>
      <c r="CZ9" s="18"/>
      <c r="DA9" s="14">
        <f t="shared" si="44"/>
        <v>0</v>
      </c>
      <c r="DB9" s="46"/>
      <c r="DC9" s="14">
        <f t="shared" si="18"/>
        <v>0</v>
      </c>
      <c r="DD9" s="49" t="s">
        <v>81</v>
      </c>
      <c r="DE9" s="49" t="s">
        <v>81</v>
      </c>
      <c r="DF9" s="49" t="s">
        <v>81</v>
      </c>
      <c r="DG9" s="49" t="s">
        <v>81</v>
      </c>
      <c r="DH9" s="49" t="s">
        <v>81</v>
      </c>
      <c r="DI9" s="42">
        <f t="shared" si="19"/>
        <v>5</v>
      </c>
      <c r="DJ9" s="14">
        <f t="shared" si="20"/>
        <v>1</v>
      </c>
      <c r="DK9" s="65" t="s">
        <v>102</v>
      </c>
      <c r="DL9" s="14">
        <f t="shared" si="21"/>
        <v>0.5</v>
      </c>
      <c r="DM9" s="49" t="s">
        <v>87</v>
      </c>
      <c r="DN9" s="14">
        <f t="shared" si="45"/>
        <v>0.5</v>
      </c>
      <c r="DO9" s="49" t="s">
        <v>178</v>
      </c>
      <c r="DP9" s="14">
        <f t="shared" si="22"/>
        <v>0.5</v>
      </c>
      <c r="DQ9" s="47" t="s">
        <v>81</v>
      </c>
      <c r="DR9" s="14">
        <f t="shared" si="49"/>
        <v>0.5</v>
      </c>
      <c r="DS9" s="78" t="s">
        <v>169</v>
      </c>
      <c r="DT9" s="65" t="s">
        <v>167</v>
      </c>
      <c r="DU9" s="14">
        <f t="shared" si="23"/>
        <v>0.5</v>
      </c>
      <c r="DV9" s="49" t="s">
        <v>176</v>
      </c>
      <c r="DW9" s="14">
        <f t="shared" si="24"/>
        <v>0.5</v>
      </c>
      <c r="DX9" s="66" t="s">
        <v>183</v>
      </c>
      <c r="DY9" s="14">
        <f t="shared" si="25"/>
        <v>0.5</v>
      </c>
      <c r="DZ9" s="49" t="s">
        <v>81</v>
      </c>
      <c r="EA9" s="14">
        <f t="shared" si="46"/>
        <v>1</v>
      </c>
      <c r="EB9" s="20">
        <v>26.5</v>
      </c>
      <c r="EC9" s="20">
        <v>-5</v>
      </c>
      <c r="ED9" s="54" t="e">
        <f>G9+N9+S9+Y9+AE9+AJ9+AN9+#REF!+AP9+AT9+AV9+AX9+AZ9+BD9+BH9+BL9+#REF!+CF9+CK9+CM9+CS9+CY9+DA9+#REF!+DJ9+#REF!+#REF!+#REF!+DL9+#REF!+DN9+DP9+DR9+DU9+DW9+DY9+EA9</f>
        <v>#REF!</v>
      </c>
      <c r="EE9" s="87">
        <f t="shared" si="26"/>
        <v>16.5</v>
      </c>
    </row>
    <row r="10" spans="1:142" s="21" customFormat="1" ht="18" customHeight="1" x14ac:dyDescent="0.25">
      <c r="A10" s="97" t="s">
        <v>69</v>
      </c>
      <c r="B10" s="68">
        <v>0</v>
      </c>
      <c r="C10" s="19">
        <v>15153.6</v>
      </c>
      <c r="D10" s="18">
        <v>7515.1</v>
      </c>
      <c r="E10" s="43">
        <f t="shared" si="0"/>
        <v>0</v>
      </c>
      <c r="F10" s="42" t="s">
        <v>8</v>
      </c>
      <c r="G10" s="40">
        <f>IF(E10&lt;=0.1,1,0)</f>
        <v>1</v>
      </c>
      <c r="H10" s="18">
        <v>0</v>
      </c>
      <c r="I10" s="18">
        <v>21650.3</v>
      </c>
      <c r="J10" s="18">
        <v>12156.9</v>
      </c>
      <c r="K10" s="18">
        <v>0</v>
      </c>
      <c r="L10" s="52">
        <f t="shared" si="1"/>
        <v>0</v>
      </c>
      <c r="M10" s="42" t="s">
        <v>11</v>
      </c>
      <c r="N10" s="39">
        <f>IF(L10&lt;=1,1,0)</f>
        <v>1</v>
      </c>
      <c r="O10" s="18"/>
      <c r="P10" s="18"/>
      <c r="Q10" s="52">
        <v>0</v>
      </c>
      <c r="R10" s="42" t="s">
        <v>11</v>
      </c>
      <c r="S10" s="39">
        <f t="shared" si="27"/>
        <v>1</v>
      </c>
      <c r="T10" s="18">
        <v>0</v>
      </c>
      <c r="U10" s="19">
        <v>14392.7</v>
      </c>
      <c r="V10" s="18">
        <v>269.10000000000002</v>
      </c>
      <c r="W10" s="52">
        <f t="shared" si="2"/>
        <v>0</v>
      </c>
      <c r="X10" s="42" t="s">
        <v>9</v>
      </c>
      <c r="Y10" s="39">
        <f t="shared" si="3"/>
        <v>1</v>
      </c>
      <c r="Z10" s="18">
        <v>0</v>
      </c>
      <c r="AA10" s="68">
        <v>0</v>
      </c>
      <c r="AB10" s="18">
        <v>0</v>
      </c>
      <c r="AC10" s="52">
        <v>0</v>
      </c>
      <c r="AD10" s="42" t="s">
        <v>11</v>
      </c>
      <c r="AE10" s="39">
        <f t="shared" si="4"/>
        <v>1</v>
      </c>
      <c r="AF10" s="18">
        <v>3336.8</v>
      </c>
      <c r="AG10" s="18">
        <v>3657</v>
      </c>
      <c r="AH10" s="52">
        <f t="shared" si="5"/>
        <v>0.91244189226141648</v>
      </c>
      <c r="AI10" s="42" t="s">
        <v>11</v>
      </c>
      <c r="AJ10" s="39">
        <f t="shared" si="47"/>
        <v>1</v>
      </c>
      <c r="AK10" s="18">
        <v>0</v>
      </c>
      <c r="AL10" s="42">
        <f t="shared" si="28"/>
        <v>0</v>
      </c>
      <c r="AM10" s="42">
        <v>0</v>
      </c>
      <c r="AN10" s="39">
        <f t="shared" si="29"/>
        <v>0</v>
      </c>
      <c r="AO10" s="18"/>
      <c r="AP10" s="39">
        <f t="shared" si="30"/>
        <v>0</v>
      </c>
      <c r="AQ10" s="19">
        <v>14392.7</v>
      </c>
      <c r="AR10" s="18">
        <f>AQ10-654.5</f>
        <v>13738.2</v>
      </c>
      <c r="AS10" s="52">
        <f t="shared" si="6"/>
        <v>1.0476408845409151</v>
      </c>
      <c r="AT10" s="39">
        <f t="shared" si="7"/>
        <v>5</v>
      </c>
      <c r="AU10" s="46"/>
      <c r="AV10" s="39">
        <f t="shared" si="31"/>
        <v>0</v>
      </c>
      <c r="AW10" s="46"/>
      <c r="AX10" s="39">
        <f t="shared" si="32"/>
        <v>0</v>
      </c>
      <c r="AY10" s="84"/>
      <c r="AZ10" s="39">
        <f t="shared" si="33"/>
        <v>0</v>
      </c>
      <c r="BA10" s="18">
        <v>9493.4</v>
      </c>
      <c r="BB10" s="18">
        <v>8708.2999999999993</v>
      </c>
      <c r="BC10" s="52">
        <f t="shared" si="8"/>
        <v>1.0901553690157666</v>
      </c>
      <c r="BD10" s="39">
        <f t="shared" si="9"/>
        <v>0.5</v>
      </c>
      <c r="BE10" s="18">
        <v>7638.5</v>
      </c>
      <c r="BF10" s="18">
        <v>7638.5</v>
      </c>
      <c r="BG10" s="52">
        <f t="shared" si="10"/>
        <v>1</v>
      </c>
      <c r="BH10" s="14">
        <f t="shared" si="34"/>
        <v>1</v>
      </c>
      <c r="BI10" s="18">
        <v>6576.2</v>
      </c>
      <c r="BJ10" s="18">
        <v>8142.3</v>
      </c>
      <c r="BK10" s="55">
        <f t="shared" si="11"/>
        <v>0.80765876963511529</v>
      </c>
      <c r="BL10" s="14">
        <f t="shared" si="35"/>
        <v>-1</v>
      </c>
      <c r="BM10" s="18">
        <v>0</v>
      </c>
      <c r="BN10" s="18">
        <v>0</v>
      </c>
      <c r="BO10" s="18">
        <v>0</v>
      </c>
      <c r="BP10" s="18">
        <v>0</v>
      </c>
      <c r="BQ10" s="52" t="e">
        <f t="shared" si="12"/>
        <v>#DIV/0!</v>
      </c>
      <c r="BR10" s="14" t="e">
        <f t="shared" si="13"/>
        <v>#DIV/0!</v>
      </c>
      <c r="BS10" s="62">
        <v>0</v>
      </c>
      <c r="BT10" s="62">
        <v>0</v>
      </c>
      <c r="BU10" s="60">
        <f t="shared" si="14"/>
        <v>0</v>
      </c>
      <c r="BV10" s="59">
        <f t="shared" si="36"/>
        <v>1</v>
      </c>
      <c r="BW10" s="18">
        <v>6576.2</v>
      </c>
      <c r="BX10" s="18">
        <v>5142.1000000000004</v>
      </c>
      <c r="BY10" s="85">
        <f t="shared" si="37"/>
        <v>1434.0999999999995</v>
      </c>
      <c r="BZ10" s="59">
        <f t="shared" si="38"/>
        <v>0</v>
      </c>
      <c r="CA10" s="18">
        <v>0</v>
      </c>
      <c r="CB10" s="18">
        <v>0</v>
      </c>
      <c r="CC10" s="18">
        <v>0</v>
      </c>
      <c r="CD10" s="18">
        <v>0</v>
      </c>
      <c r="CE10" s="44" t="e">
        <f t="shared" si="15"/>
        <v>#DIV/0!</v>
      </c>
      <c r="CF10" s="14" t="e">
        <f t="shared" si="39"/>
        <v>#DIV/0!</v>
      </c>
      <c r="CG10" s="86">
        <v>0</v>
      </c>
      <c r="CH10" s="82">
        <v>0</v>
      </c>
      <c r="CI10" s="51">
        <f t="shared" si="40"/>
        <v>0</v>
      </c>
      <c r="CJ10" s="51" t="e">
        <f t="shared" si="41"/>
        <v>#DIV/0!</v>
      </c>
      <c r="CK10" s="14">
        <v>1</v>
      </c>
      <c r="CL10" s="18"/>
      <c r="CM10" s="14">
        <f t="shared" si="42"/>
        <v>0</v>
      </c>
      <c r="CN10" s="18">
        <v>0</v>
      </c>
      <c r="CO10" s="18">
        <v>0</v>
      </c>
      <c r="CP10" s="18">
        <v>0</v>
      </c>
      <c r="CQ10" s="18">
        <v>0</v>
      </c>
      <c r="CR10" s="44" t="e">
        <f>(CN10/CO10)/(CP10/CQ10)</f>
        <v>#DIV/0!</v>
      </c>
      <c r="CS10" s="23" t="e">
        <f t="shared" si="43"/>
        <v>#DIV/0!</v>
      </c>
      <c r="CT10" s="18">
        <v>0</v>
      </c>
      <c r="CU10" s="18">
        <v>0</v>
      </c>
      <c r="CV10" s="18">
        <v>0</v>
      </c>
      <c r="CW10" s="18">
        <v>0</v>
      </c>
      <c r="CX10" s="52" t="e">
        <f>(CT10/CU10)/(CV10/CW10)</f>
        <v>#DIV/0!</v>
      </c>
      <c r="CY10" s="14">
        <f t="shared" si="17"/>
        <v>1</v>
      </c>
      <c r="CZ10" s="18"/>
      <c r="DA10" s="14">
        <f t="shared" si="44"/>
        <v>0</v>
      </c>
      <c r="DB10" s="46"/>
      <c r="DC10" s="14">
        <f t="shared" si="18"/>
        <v>0</v>
      </c>
      <c r="DD10" s="49" t="s">
        <v>81</v>
      </c>
      <c r="DE10" s="49" t="s">
        <v>81</v>
      </c>
      <c r="DF10" s="49" t="s">
        <v>81</v>
      </c>
      <c r="DG10" s="49" t="s">
        <v>81</v>
      </c>
      <c r="DH10" s="49" t="s">
        <v>81</v>
      </c>
      <c r="DI10" s="42">
        <f>DD10+DE10+DF10+DG10+DH10</f>
        <v>5</v>
      </c>
      <c r="DJ10" s="14">
        <f t="shared" si="20"/>
        <v>1</v>
      </c>
      <c r="DK10" s="49" t="s">
        <v>129</v>
      </c>
      <c r="DL10" s="14">
        <f t="shared" si="21"/>
        <v>0.5</v>
      </c>
      <c r="DM10" s="49" t="s">
        <v>130</v>
      </c>
      <c r="DN10" s="14">
        <f t="shared" si="45"/>
        <v>0.5</v>
      </c>
      <c r="DO10" s="49" t="s">
        <v>179</v>
      </c>
      <c r="DP10" s="14">
        <f t="shared" si="22"/>
        <v>0.5</v>
      </c>
      <c r="DQ10" s="47" t="s">
        <v>81</v>
      </c>
      <c r="DR10" s="14">
        <f t="shared" si="49"/>
        <v>0.5</v>
      </c>
      <c r="DS10" s="78" t="s">
        <v>170</v>
      </c>
      <c r="DT10" s="65" t="s">
        <v>167</v>
      </c>
      <c r="DU10" s="14">
        <f t="shared" si="23"/>
        <v>0.5</v>
      </c>
      <c r="DV10" s="49" t="s">
        <v>176</v>
      </c>
      <c r="DW10" s="14">
        <f t="shared" si="24"/>
        <v>0.5</v>
      </c>
      <c r="DX10" s="66" t="s">
        <v>180</v>
      </c>
      <c r="DY10" s="14">
        <f t="shared" si="25"/>
        <v>0.5</v>
      </c>
      <c r="DZ10" s="49" t="s">
        <v>81</v>
      </c>
      <c r="EA10" s="14">
        <f t="shared" si="46"/>
        <v>1</v>
      </c>
      <c r="EB10" s="20">
        <v>26.5</v>
      </c>
      <c r="EC10" s="20">
        <v>-5</v>
      </c>
      <c r="ED10" s="54" t="e">
        <f>G10+N10+S10+Y10+AE10+AJ10+AN10+#REF!+AP10+AT10+AV10+AX10+AZ10+BD10+BH10+BL10+#REF!+CF10+CK10+CM10+CS10+CY10+DA10+#REF!+DJ10+#REF!+#REF!+#REF!+DL10+#REF!+DN10+DP10+DR10+DU10+DW10+DY10+EA10</f>
        <v>#REF!</v>
      </c>
      <c r="EE10" s="83">
        <f>G10+N10+Y10+AE10++AN10+AP10+AT10+AV10+AX10+AZ10+BD10+BH10+BV10+BZ10+CK10+L23+DA10+DJ10+DL10+DN10+DP10+DR10+DU10+DW10+DY10+EA10+DC10+BL10+AJ10</f>
        <v>18</v>
      </c>
    </row>
    <row r="11" spans="1:142" s="17" customFormat="1" ht="20.25" customHeight="1" x14ac:dyDescent="0.25">
      <c r="A11" s="97" t="s">
        <v>70</v>
      </c>
      <c r="B11" s="68">
        <v>0</v>
      </c>
      <c r="C11" s="19">
        <v>7384.5</v>
      </c>
      <c r="D11" s="18">
        <v>6190.6</v>
      </c>
      <c r="E11" s="53">
        <f t="shared" si="0"/>
        <v>0</v>
      </c>
      <c r="F11" s="42" t="s">
        <v>8</v>
      </c>
      <c r="G11" s="40">
        <f>IF(E11&lt;=0.1,1,0)</f>
        <v>1</v>
      </c>
      <c r="H11" s="18">
        <v>0</v>
      </c>
      <c r="I11" s="18">
        <v>9566</v>
      </c>
      <c r="J11" s="18">
        <v>7977.1</v>
      </c>
      <c r="K11" s="18">
        <v>0</v>
      </c>
      <c r="L11" s="52">
        <f t="shared" si="1"/>
        <v>0</v>
      </c>
      <c r="M11" s="42" t="s">
        <v>11</v>
      </c>
      <c r="N11" s="39">
        <f>IF(L11&lt;=1,1,0)</f>
        <v>1</v>
      </c>
      <c r="O11" s="15"/>
      <c r="P11" s="15"/>
      <c r="Q11" s="52">
        <v>0</v>
      </c>
      <c r="R11" s="42" t="s">
        <v>11</v>
      </c>
      <c r="S11" s="39">
        <f t="shared" si="27"/>
        <v>1</v>
      </c>
      <c r="T11" s="18">
        <v>0</v>
      </c>
      <c r="U11" s="19">
        <v>5932.7</v>
      </c>
      <c r="V11" s="18">
        <v>105</v>
      </c>
      <c r="W11" s="52">
        <f t="shared" si="2"/>
        <v>0</v>
      </c>
      <c r="X11" s="42" t="s">
        <v>9</v>
      </c>
      <c r="Y11" s="39">
        <f t="shared" si="3"/>
        <v>1</v>
      </c>
      <c r="Z11" s="18">
        <v>0</v>
      </c>
      <c r="AA11" s="68">
        <v>0</v>
      </c>
      <c r="AB11" s="18">
        <v>0</v>
      </c>
      <c r="AC11" s="52">
        <v>0</v>
      </c>
      <c r="AD11" s="42" t="s">
        <v>11</v>
      </c>
      <c r="AE11" s="39">
        <f t="shared" si="4"/>
        <v>1</v>
      </c>
      <c r="AF11" s="18">
        <v>2524.9</v>
      </c>
      <c r="AG11" s="18">
        <v>3025</v>
      </c>
      <c r="AH11" s="52">
        <f t="shared" si="5"/>
        <v>0.83467768595041325</v>
      </c>
      <c r="AI11" s="42" t="s">
        <v>11</v>
      </c>
      <c r="AJ11" s="39">
        <f t="shared" si="47"/>
        <v>1</v>
      </c>
      <c r="AK11" s="18">
        <v>0</v>
      </c>
      <c r="AL11" s="42">
        <f t="shared" si="28"/>
        <v>0</v>
      </c>
      <c r="AM11" s="42">
        <v>0</v>
      </c>
      <c r="AN11" s="39">
        <f t="shared" si="29"/>
        <v>0</v>
      </c>
      <c r="AO11" s="18">
        <v>1</v>
      </c>
      <c r="AP11" s="39">
        <f t="shared" si="30"/>
        <v>-1</v>
      </c>
      <c r="AQ11" s="19">
        <v>5932.7</v>
      </c>
      <c r="AR11" s="18">
        <f>AQ11-709.4</f>
        <v>5223.3</v>
      </c>
      <c r="AS11" s="52">
        <f t="shared" si="6"/>
        <v>1.135814523385599</v>
      </c>
      <c r="AT11" s="39">
        <f t="shared" si="7"/>
        <v>5</v>
      </c>
      <c r="AU11" s="46"/>
      <c r="AV11" s="39">
        <f t="shared" si="31"/>
        <v>0</v>
      </c>
      <c r="AW11" s="46"/>
      <c r="AX11" s="39">
        <f t="shared" si="32"/>
        <v>0</v>
      </c>
      <c r="AY11" s="84">
        <v>1</v>
      </c>
      <c r="AZ11" s="39">
        <f t="shared" si="33"/>
        <v>-1</v>
      </c>
      <c r="BA11" s="18">
        <v>1588.9</v>
      </c>
      <c r="BB11" s="18">
        <v>1588.9</v>
      </c>
      <c r="BC11" s="52">
        <f t="shared" si="8"/>
        <v>1</v>
      </c>
      <c r="BD11" s="39">
        <f t="shared" si="9"/>
        <v>1</v>
      </c>
      <c r="BE11" s="18">
        <v>1193.9000000000001</v>
      </c>
      <c r="BF11" s="18">
        <v>1193.9000000000001</v>
      </c>
      <c r="BG11" s="52">
        <f t="shared" si="10"/>
        <v>1</v>
      </c>
      <c r="BH11" s="14">
        <f t="shared" si="34"/>
        <v>1</v>
      </c>
      <c r="BI11" s="18">
        <v>1107.2</v>
      </c>
      <c r="BJ11" s="18">
        <v>1527.9</v>
      </c>
      <c r="BK11" s="55">
        <f t="shared" si="11"/>
        <v>0.72465475489233588</v>
      </c>
      <c r="BL11" s="14">
        <f t="shared" si="35"/>
        <v>-1</v>
      </c>
      <c r="BM11" s="18">
        <v>0</v>
      </c>
      <c r="BN11" s="18">
        <v>0</v>
      </c>
      <c r="BO11" s="18">
        <v>0</v>
      </c>
      <c r="BP11" s="18">
        <v>0</v>
      </c>
      <c r="BQ11" s="52" t="e">
        <f t="shared" si="12"/>
        <v>#DIV/0!</v>
      </c>
      <c r="BR11" s="14" t="e">
        <f t="shared" si="13"/>
        <v>#DIV/0!</v>
      </c>
      <c r="BS11" s="62">
        <v>0</v>
      </c>
      <c r="BT11" s="62">
        <v>0</v>
      </c>
      <c r="BU11" s="60">
        <f t="shared" si="14"/>
        <v>0</v>
      </c>
      <c r="BV11" s="59">
        <f t="shared" si="36"/>
        <v>1</v>
      </c>
      <c r="BW11" s="18">
        <v>1107.2</v>
      </c>
      <c r="BX11" s="18">
        <v>688.6</v>
      </c>
      <c r="BY11" s="85">
        <f t="shared" si="37"/>
        <v>418.6</v>
      </c>
      <c r="BZ11" s="59">
        <f t="shared" si="38"/>
        <v>0</v>
      </c>
      <c r="CA11" s="18">
        <v>0</v>
      </c>
      <c r="CB11" s="18">
        <v>0</v>
      </c>
      <c r="CC11" s="18">
        <v>0</v>
      </c>
      <c r="CD11" s="18">
        <v>0</v>
      </c>
      <c r="CE11" s="44" t="e">
        <f t="shared" si="15"/>
        <v>#DIV/0!</v>
      </c>
      <c r="CF11" s="14" t="e">
        <f t="shared" si="39"/>
        <v>#DIV/0!</v>
      </c>
      <c r="CG11" s="82">
        <v>0</v>
      </c>
      <c r="CH11" s="82">
        <v>0</v>
      </c>
      <c r="CI11" s="51">
        <f t="shared" si="40"/>
        <v>0</v>
      </c>
      <c r="CJ11" s="51" t="e">
        <f t="shared" si="41"/>
        <v>#DIV/0!</v>
      </c>
      <c r="CK11" s="14">
        <v>1</v>
      </c>
      <c r="CL11" s="15"/>
      <c r="CM11" s="14">
        <f t="shared" si="42"/>
        <v>0</v>
      </c>
      <c r="CN11" s="18">
        <v>0</v>
      </c>
      <c r="CO11" s="18">
        <v>0</v>
      </c>
      <c r="CP11" s="18">
        <v>0</v>
      </c>
      <c r="CQ11" s="18">
        <v>0</v>
      </c>
      <c r="CR11" s="44" t="e">
        <f>(CN11/CO11)/(CP11/CQ11)</f>
        <v>#DIV/0!</v>
      </c>
      <c r="CS11" s="23" t="e">
        <f t="shared" si="43"/>
        <v>#DIV/0!</v>
      </c>
      <c r="CT11" s="18">
        <v>0</v>
      </c>
      <c r="CU11" s="18">
        <v>0</v>
      </c>
      <c r="CV11" s="18">
        <v>0</v>
      </c>
      <c r="CW11" s="18">
        <v>0</v>
      </c>
      <c r="CX11" s="52" t="e">
        <f t="shared" si="16"/>
        <v>#DIV/0!</v>
      </c>
      <c r="CY11" s="14">
        <v>1</v>
      </c>
      <c r="CZ11" s="15"/>
      <c r="DA11" s="14">
        <f t="shared" si="44"/>
        <v>0</v>
      </c>
      <c r="DB11" s="46"/>
      <c r="DC11" s="14">
        <f t="shared" si="18"/>
        <v>0</v>
      </c>
      <c r="DD11" s="49" t="s">
        <v>81</v>
      </c>
      <c r="DE11" s="49" t="s">
        <v>81</v>
      </c>
      <c r="DF11" s="49" t="s">
        <v>81</v>
      </c>
      <c r="DG11" s="49" t="s">
        <v>81</v>
      </c>
      <c r="DH11" s="49" t="s">
        <v>81</v>
      </c>
      <c r="DI11" s="42">
        <f t="shared" si="19"/>
        <v>5</v>
      </c>
      <c r="DJ11" s="14">
        <f t="shared" si="20"/>
        <v>1</v>
      </c>
      <c r="DK11" s="49" t="s">
        <v>96</v>
      </c>
      <c r="DL11" s="14">
        <f t="shared" si="21"/>
        <v>0.5</v>
      </c>
      <c r="DM11" s="49" t="s">
        <v>92</v>
      </c>
      <c r="DN11" s="14">
        <f t="shared" si="45"/>
        <v>0.5</v>
      </c>
      <c r="DO11" s="49" t="s">
        <v>177</v>
      </c>
      <c r="DP11" s="14">
        <f t="shared" si="22"/>
        <v>0.5</v>
      </c>
      <c r="DQ11" s="47" t="s">
        <v>81</v>
      </c>
      <c r="DR11" s="14">
        <f t="shared" si="49"/>
        <v>0.5</v>
      </c>
      <c r="DS11" s="78" t="s">
        <v>166</v>
      </c>
      <c r="DT11" s="65" t="s">
        <v>167</v>
      </c>
      <c r="DU11" s="14">
        <f t="shared" si="23"/>
        <v>0.5</v>
      </c>
      <c r="DV11" s="49"/>
      <c r="DW11" s="14">
        <f>IF(ISBLANK(#REF!),0,0.5)</f>
        <v>0.5</v>
      </c>
      <c r="DX11" s="67">
        <v>45343</v>
      </c>
      <c r="DY11" s="14">
        <f t="shared" si="25"/>
        <v>0.5</v>
      </c>
      <c r="DZ11" s="49"/>
      <c r="EA11" s="14">
        <f t="shared" si="46"/>
        <v>0</v>
      </c>
      <c r="EB11" s="16">
        <v>26.5</v>
      </c>
      <c r="EC11" s="16">
        <v>-5</v>
      </c>
      <c r="ED11" s="54" t="e">
        <f>G11+N11+S11+Y11+AE11+AJ11+AN11+#REF!+AP11+AT11+AV11+AX11+AZ11+BD11+BH11+BL11+#REF!+CF11+CK11+CM11+CS11+CY11+DA11+#REF!+DJ11+#REF!+#REF!+#REF!+DL11+#REF!+DN11+DP11+DR11+DU11+DW11+DY11+EA11</f>
        <v>#REF!</v>
      </c>
      <c r="EE11" s="83">
        <f>G11+N11+Y11+AE11++AN11+AP11+AT11+AV11+AX11+AZ11+BD11+BH11+BV11+BZ11+CK11+CM11+DA11+DJ11+DL11+DN11+DP11+DR11+DU11+DW11+DY11+EA11+DC11+BL11+AJ11</f>
        <v>15.5</v>
      </c>
    </row>
    <row r="12" spans="1:142" s="17" customFormat="1" ht="17.25" customHeight="1" x14ac:dyDescent="0.25">
      <c r="A12" s="97" t="s">
        <v>71</v>
      </c>
      <c r="B12" s="68">
        <v>0</v>
      </c>
      <c r="C12" s="19">
        <v>5988.6</v>
      </c>
      <c r="D12" s="18">
        <v>3659.2</v>
      </c>
      <c r="E12" s="43">
        <f t="shared" si="0"/>
        <v>0</v>
      </c>
      <c r="F12" s="42" t="s">
        <v>7</v>
      </c>
      <c r="G12" s="40">
        <f>IF(E12&lt;=0.05,1,0)</f>
        <v>1</v>
      </c>
      <c r="H12" s="18">
        <v>0</v>
      </c>
      <c r="I12" s="18">
        <v>9906.7000000000007</v>
      </c>
      <c r="J12" s="18">
        <v>6836.5</v>
      </c>
      <c r="K12" s="18">
        <v>0</v>
      </c>
      <c r="L12" s="52">
        <f t="shared" si="1"/>
        <v>0</v>
      </c>
      <c r="M12" s="42" t="s">
        <v>10</v>
      </c>
      <c r="N12" s="39">
        <f>IF(L12&lt;=0.5,1,0)</f>
        <v>1</v>
      </c>
      <c r="O12" s="15"/>
      <c r="P12" s="15"/>
      <c r="Q12" s="52">
        <v>0</v>
      </c>
      <c r="R12" s="42" t="s">
        <v>11</v>
      </c>
      <c r="S12" s="39">
        <f t="shared" si="27"/>
        <v>1</v>
      </c>
      <c r="T12" s="18">
        <v>0</v>
      </c>
      <c r="U12" s="19">
        <v>5103.1000000000004</v>
      </c>
      <c r="V12" s="18">
        <v>99.2</v>
      </c>
      <c r="W12" s="52">
        <f t="shared" si="2"/>
        <v>0</v>
      </c>
      <c r="X12" s="42" t="s">
        <v>9</v>
      </c>
      <c r="Y12" s="39">
        <f t="shared" si="3"/>
        <v>1</v>
      </c>
      <c r="Z12" s="15">
        <v>0</v>
      </c>
      <c r="AA12" s="68">
        <v>0</v>
      </c>
      <c r="AB12" s="15">
        <v>0</v>
      </c>
      <c r="AC12" s="52">
        <v>0</v>
      </c>
      <c r="AD12" s="42" t="s">
        <v>11</v>
      </c>
      <c r="AE12" s="39">
        <f t="shared" si="4"/>
        <v>1</v>
      </c>
      <c r="AF12" s="18">
        <v>1786</v>
      </c>
      <c r="AG12" s="18">
        <v>2106</v>
      </c>
      <c r="AH12" s="52">
        <f t="shared" si="5"/>
        <v>0.84805318138651475</v>
      </c>
      <c r="AI12" s="42" t="s">
        <v>11</v>
      </c>
      <c r="AJ12" s="39">
        <f t="shared" si="47"/>
        <v>1</v>
      </c>
      <c r="AK12" s="18">
        <v>0</v>
      </c>
      <c r="AL12" s="42">
        <f t="shared" si="28"/>
        <v>0</v>
      </c>
      <c r="AM12" s="42">
        <v>0</v>
      </c>
      <c r="AN12" s="39">
        <f t="shared" si="29"/>
        <v>0</v>
      </c>
      <c r="AO12" s="18"/>
      <c r="AP12" s="39">
        <f t="shared" si="30"/>
        <v>0</v>
      </c>
      <c r="AQ12" s="19">
        <f>5103.1-5</f>
        <v>5098.1000000000004</v>
      </c>
      <c r="AR12" s="18">
        <f>AQ12-646.1</f>
        <v>4452</v>
      </c>
      <c r="AS12" s="52">
        <f t="shared" si="6"/>
        <v>1.145125786163522</v>
      </c>
      <c r="AT12" s="39">
        <f t="shared" si="7"/>
        <v>5</v>
      </c>
      <c r="AU12" s="46"/>
      <c r="AV12" s="39">
        <f t="shared" si="31"/>
        <v>0</v>
      </c>
      <c r="AW12" s="46"/>
      <c r="AX12" s="39">
        <f t="shared" si="32"/>
        <v>0</v>
      </c>
      <c r="AY12" s="84"/>
      <c r="AZ12" s="39">
        <f t="shared" si="33"/>
        <v>0</v>
      </c>
      <c r="BA12" s="18">
        <v>3070.2</v>
      </c>
      <c r="BB12" s="18">
        <v>2097.9</v>
      </c>
      <c r="BC12" s="52">
        <f t="shared" si="8"/>
        <v>1.4634634634634633</v>
      </c>
      <c r="BD12" s="39">
        <f t="shared" si="9"/>
        <v>0</v>
      </c>
      <c r="BE12" s="18">
        <v>2329.4</v>
      </c>
      <c r="BF12" s="18">
        <v>2329.4</v>
      </c>
      <c r="BG12" s="52">
        <f t="shared" si="10"/>
        <v>1</v>
      </c>
      <c r="BH12" s="14">
        <f t="shared" si="34"/>
        <v>1</v>
      </c>
      <c r="BI12" s="18">
        <v>1066.9000000000001</v>
      </c>
      <c r="BJ12" s="18">
        <v>1778.7</v>
      </c>
      <c r="BK12" s="55">
        <f t="shared" si="11"/>
        <v>0.59982009332658692</v>
      </c>
      <c r="BL12" s="14">
        <f t="shared" si="35"/>
        <v>-1</v>
      </c>
      <c r="BM12" s="18">
        <v>0</v>
      </c>
      <c r="BN12" s="18">
        <v>0</v>
      </c>
      <c r="BO12" s="18">
        <v>0</v>
      </c>
      <c r="BP12" s="18">
        <v>0</v>
      </c>
      <c r="BQ12" s="52" t="e">
        <f t="shared" si="12"/>
        <v>#DIV/0!</v>
      </c>
      <c r="BR12" s="14" t="e">
        <f t="shared" si="13"/>
        <v>#DIV/0!</v>
      </c>
      <c r="BS12" s="62">
        <v>0</v>
      </c>
      <c r="BT12" s="62">
        <v>0</v>
      </c>
      <c r="BU12" s="60">
        <f t="shared" si="14"/>
        <v>0</v>
      </c>
      <c r="BV12" s="59">
        <f t="shared" si="36"/>
        <v>1</v>
      </c>
      <c r="BW12" s="18">
        <v>1066.9000000000001</v>
      </c>
      <c r="BX12" s="18">
        <v>1264.5999999999999</v>
      </c>
      <c r="BY12" s="85">
        <f t="shared" si="37"/>
        <v>-197.69999999999982</v>
      </c>
      <c r="BZ12" s="59">
        <f t="shared" si="38"/>
        <v>-1</v>
      </c>
      <c r="CA12" s="15">
        <v>0</v>
      </c>
      <c r="CB12" s="15">
        <v>0</v>
      </c>
      <c r="CC12" s="15">
        <v>0</v>
      </c>
      <c r="CD12" s="15">
        <v>0</v>
      </c>
      <c r="CE12" s="44" t="e">
        <f t="shared" si="15"/>
        <v>#DIV/0!</v>
      </c>
      <c r="CF12" s="14" t="e">
        <f t="shared" si="39"/>
        <v>#DIV/0!</v>
      </c>
      <c r="CG12" s="86">
        <v>0</v>
      </c>
      <c r="CH12" s="82">
        <v>0</v>
      </c>
      <c r="CI12" s="51">
        <f t="shared" si="40"/>
        <v>0</v>
      </c>
      <c r="CJ12" s="51" t="e">
        <f t="shared" si="41"/>
        <v>#DIV/0!</v>
      </c>
      <c r="CK12" s="14">
        <v>1</v>
      </c>
      <c r="CL12" s="15"/>
      <c r="CM12" s="14">
        <f t="shared" si="42"/>
        <v>0</v>
      </c>
      <c r="CN12" s="18">
        <v>0</v>
      </c>
      <c r="CO12" s="18">
        <v>0</v>
      </c>
      <c r="CP12" s="18">
        <v>0</v>
      </c>
      <c r="CQ12" s="18">
        <v>0</v>
      </c>
      <c r="CR12" s="44" t="e">
        <f t="shared" si="48"/>
        <v>#DIV/0!</v>
      </c>
      <c r="CS12" s="23" t="e">
        <f t="shared" si="43"/>
        <v>#DIV/0!</v>
      </c>
      <c r="CT12" s="18">
        <v>0</v>
      </c>
      <c r="CU12" s="18">
        <v>0</v>
      </c>
      <c r="CV12" s="18">
        <v>0</v>
      </c>
      <c r="CW12" s="18">
        <v>0</v>
      </c>
      <c r="CX12" s="52" t="e">
        <f t="shared" si="16"/>
        <v>#DIV/0!</v>
      </c>
      <c r="CY12" s="14">
        <f t="shared" si="17"/>
        <v>1</v>
      </c>
      <c r="CZ12" s="15"/>
      <c r="DA12" s="14">
        <f t="shared" si="44"/>
        <v>0</v>
      </c>
      <c r="DB12" s="46"/>
      <c r="DC12" s="14">
        <f t="shared" si="18"/>
        <v>0</v>
      </c>
      <c r="DD12" s="49" t="s">
        <v>81</v>
      </c>
      <c r="DE12" s="49" t="s">
        <v>81</v>
      </c>
      <c r="DF12" s="49" t="s">
        <v>81</v>
      </c>
      <c r="DG12" s="49" t="s">
        <v>81</v>
      </c>
      <c r="DH12" s="49" t="s">
        <v>81</v>
      </c>
      <c r="DI12" s="42">
        <f t="shared" si="19"/>
        <v>5</v>
      </c>
      <c r="DJ12" s="14">
        <f t="shared" si="20"/>
        <v>1</v>
      </c>
      <c r="DK12" s="49" t="s">
        <v>97</v>
      </c>
      <c r="DL12" s="14">
        <f t="shared" si="21"/>
        <v>0.5</v>
      </c>
      <c r="DM12" s="49" t="s">
        <v>94</v>
      </c>
      <c r="DN12" s="14">
        <f t="shared" si="45"/>
        <v>0.5</v>
      </c>
      <c r="DO12" s="49" t="s">
        <v>185</v>
      </c>
      <c r="DP12" s="14">
        <f t="shared" si="22"/>
        <v>0.5</v>
      </c>
      <c r="DQ12" s="47" t="s">
        <v>81</v>
      </c>
      <c r="DR12" s="14">
        <f t="shared" si="49"/>
        <v>0.5</v>
      </c>
      <c r="DS12" s="79">
        <v>45279</v>
      </c>
      <c r="DT12" s="65" t="s">
        <v>167</v>
      </c>
      <c r="DU12" s="14">
        <f t="shared" si="23"/>
        <v>0.5</v>
      </c>
      <c r="DV12" s="49" t="s">
        <v>186</v>
      </c>
      <c r="DW12" s="14">
        <f t="shared" si="24"/>
        <v>0.5</v>
      </c>
      <c r="DX12" s="48"/>
      <c r="DY12" s="14">
        <f t="shared" si="25"/>
        <v>0</v>
      </c>
      <c r="DZ12" s="49"/>
      <c r="EA12" s="14">
        <f>IF(ISBLANK(DZ12),0,1)</f>
        <v>0</v>
      </c>
      <c r="EB12" s="16">
        <v>26.5</v>
      </c>
      <c r="EC12" s="16">
        <v>-5</v>
      </c>
      <c r="ED12" s="54" t="e">
        <f>G12+N12+S12+Y12+AE12+AJ12+AN12+#REF!+AP12+AT12+AV12+AX12+AZ12+BD12+BH12+BL12+#REF!+CF12+CK12+CM12+CS12+CY12+DA12+#REF!+DJ12+#REF!+#REF!+#REF!+DL12+#REF!+DN12+DP12+DR12+DU12+DW12+DY12+EA12</f>
        <v>#REF!</v>
      </c>
      <c r="EE12" s="83">
        <f>G12+N12+Y12+AE12++AN12+AP12+AT12+AV12+AX12+AZ12+BD12+BH12+BV12+BZ12+CK12+CM12+DA12+DJ12+DL12+DN12+DP12+DR12+DU12+DW12+DY12+EA12+DC12+BL12+AJ12</f>
        <v>15</v>
      </c>
    </row>
    <row r="13" spans="1:142" ht="27.75" customHeight="1" x14ac:dyDescent="0.2">
      <c r="A13" s="34"/>
      <c r="B13" s="4"/>
      <c r="E13" s="11"/>
      <c r="F13" s="9"/>
      <c r="P13" s="4"/>
      <c r="AP13" s="41"/>
      <c r="CE13" s="13"/>
    </row>
    <row r="14" spans="1:142" ht="16.5" customHeight="1" x14ac:dyDescent="0.25">
      <c r="A14" s="36"/>
      <c r="B14" s="36"/>
      <c r="C14" s="36" t="s">
        <v>104</v>
      </c>
      <c r="D14" s="36"/>
      <c r="E14" s="36"/>
      <c r="F14" s="36"/>
      <c r="G14" s="35"/>
      <c r="H14" s="36"/>
      <c r="P14" s="4"/>
      <c r="DT14" s="64"/>
    </row>
    <row r="15" spans="1:142" ht="17.25" customHeight="1" x14ac:dyDescent="0.25">
      <c r="A15" s="58"/>
      <c r="B15" s="36"/>
      <c r="C15" s="36" t="s">
        <v>105</v>
      </c>
      <c r="D15" s="36"/>
      <c r="E15" s="38"/>
      <c r="F15" s="37"/>
      <c r="G15" s="35"/>
      <c r="H15" s="36"/>
      <c r="I15" t="s">
        <v>106</v>
      </c>
    </row>
    <row r="16" spans="1:142" ht="15.75" x14ac:dyDescent="0.25">
      <c r="A16"/>
      <c r="B16" s="36"/>
      <c r="C16" s="36"/>
      <c r="D16" s="36"/>
      <c r="E16" s="38"/>
      <c r="F16" s="37"/>
      <c r="G16" s="35"/>
      <c r="H16" s="36"/>
    </row>
    <row r="17" spans="1:1" x14ac:dyDescent="0.2">
      <c r="A17"/>
    </row>
    <row r="18" spans="1:1" x14ac:dyDescent="0.2">
      <c r="A18"/>
    </row>
    <row r="20" spans="1:1" x14ac:dyDescent="0.2">
      <c r="A20"/>
    </row>
    <row r="21" spans="1:1" x14ac:dyDescent="0.2">
      <c r="A21"/>
    </row>
    <row r="38" spans="79:104" ht="12.75" customHeight="1" x14ac:dyDescent="0.2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EE2:EE3"/>
    <mergeCell ref="DV2:DW2"/>
    <mergeCell ref="DX2:DY2"/>
    <mergeCell ref="DZ2:EA2"/>
    <mergeCell ref="EB2:EB3"/>
    <mergeCell ref="EC2:EC3"/>
    <mergeCell ref="ED2:ED3"/>
    <mergeCell ref="DS2:DU2"/>
    <mergeCell ref="CZ2:DA2"/>
    <mergeCell ref="DK2:DL2"/>
    <mergeCell ref="DM2:DN2"/>
    <mergeCell ref="DO2:DP2"/>
    <mergeCell ref="DQ2:DR2"/>
    <mergeCell ref="DB2:DC2"/>
    <mergeCell ref="DD2:DJ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2024-10-29T11:00:31Z</cp:lastPrinted>
  <dcterms:created xsi:type="dcterms:W3CDTF">2009-01-27T10:52:16Z</dcterms:created>
  <dcterms:modified xsi:type="dcterms:W3CDTF">2024-10-29T11:00:32Z</dcterms:modified>
</cp:coreProperties>
</file>